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082\Documents\Academy\Real Estate\"/>
    </mc:Choice>
  </mc:AlternateContent>
  <xr:revisionPtr revIDLastSave="0" documentId="8_{C134FE98-D96C-486A-BC44-F0F9893D4B30}" xr6:coauthVersionLast="47" xr6:coauthVersionMax="47" xr10:uidLastSave="{00000000-0000-0000-0000-000000000000}"/>
  <bookViews>
    <workbookView xWindow="-108" yWindow="-108" windowWidth="23256" windowHeight="12576" xr2:uid="{F2D53D3C-E04D-4FC2-AA5A-D7AAED136364}"/>
  </bookViews>
  <sheets>
    <sheet name="Basics" sheetId="1" r:id="rId1"/>
    <sheet name="Forecast" sheetId="2" r:id="rId2"/>
    <sheet name="graphics" sheetId="3" r:id="rId3"/>
    <sheet name="Sheet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4" l="1"/>
  <c r="D9" i="4"/>
  <c r="D7" i="4"/>
  <c r="D6" i="4"/>
  <c r="D4" i="4"/>
  <c r="B8" i="4"/>
  <c r="B6" i="4"/>
  <c r="B4" i="4"/>
  <c r="F49" i="1"/>
  <c r="D49" i="1"/>
  <c r="F48" i="1"/>
  <c r="D48" i="1"/>
  <c r="F47" i="1"/>
  <c r="D47" i="1"/>
  <c r="G47" i="1" s="1"/>
  <c r="E15" i="1"/>
  <c r="F15" i="1" s="1"/>
  <c r="E16" i="1"/>
  <c r="F16" i="1" s="1"/>
  <c r="E17" i="1"/>
  <c r="F17" i="1" s="1"/>
  <c r="G49" i="1" l="1"/>
  <c r="G48" i="1"/>
  <c r="C96" i="1"/>
  <c r="C95" i="1"/>
  <c r="C97" i="1"/>
  <c r="C168" i="1"/>
  <c r="F134" i="1"/>
  <c r="E131" i="1"/>
  <c r="F118" i="1"/>
  <c r="F131" i="1" s="1"/>
  <c r="F120" i="1"/>
  <c r="D131" i="1" s="1"/>
  <c r="F123" i="1"/>
  <c r="F126" i="1" s="1"/>
  <c r="F127" i="1" s="1"/>
  <c r="F108" i="1"/>
  <c r="C23" i="2"/>
  <c r="C6" i="2"/>
  <c r="F107" i="1"/>
  <c r="C88" i="1"/>
  <c r="D160" i="1"/>
  <c r="D151" i="1"/>
  <c r="C147" i="1"/>
  <c r="J94" i="1"/>
  <c r="H94" i="1" s="1"/>
  <c r="J88" i="1"/>
  <c r="H88" i="1" s="1"/>
  <c r="J83" i="1"/>
  <c r="H83" i="1" s="1"/>
  <c r="J84" i="1"/>
  <c r="H84" i="1" s="1"/>
  <c r="J85" i="1"/>
  <c r="H85" i="1" s="1"/>
  <c r="J86" i="1"/>
  <c r="H86" i="1" s="1"/>
  <c r="J87" i="1"/>
  <c r="H87" i="1" s="1"/>
  <c r="J82" i="1"/>
  <c r="H82" i="1" s="1"/>
  <c r="J81" i="1"/>
  <c r="H81" i="1" s="1"/>
  <c r="J73" i="1"/>
  <c r="C92" i="1"/>
  <c r="J92" i="1" s="1"/>
  <c r="H92" i="1" s="1"/>
  <c r="F63" i="1"/>
  <c r="F62" i="1"/>
  <c r="C42" i="1"/>
  <c r="B18" i="1"/>
  <c r="C16" i="1"/>
  <c r="C17" i="1"/>
  <c r="C15" i="1"/>
  <c r="I8" i="1"/>
  <c r="I9" i="1"/>
  <c r="I7" i="1"/>
  <c r="G10" i="1"/>
  <c r="H10" i="1"/>
  <c r="F10" i="1"/>
  <c r="C12" i="1"/>
  <c r="C74" i="1" s="1"/>
  <c r="J74" i="1" s="1"/>
  <c r="F128" i="1" l="1"/>
  <c r="F129" i="1" s="1"/>
  <c r="F130" i="1" s="1"/>
  <c r="F132" i="1" s="1"/>
  <c r="F133" i="1" s="1"/>
  <c r="F135" i="1" s="1"/>
  <c r="D167" i="1" s="1"/>
  <c r="D15" i="1"/>
  <c r="C75" i="1"/>
  <c r="J75" i="1" s="1"/>
  <c r="H75" i="1" s="1"/>
  <c r="C76" i="1"/>
  <c r="J76" i="1" s="1"/>
  <c r="H76" i="1" s="1"/>
  <c r="C77" i="1"/>
  <c r="J77" i="1" s="1"/>
  <c r="H77" i="1" s="1"/>
  <c r="D17" i="1"/>
  <c r="D16" i="1"/>
  <c r="C18" i="1"/>
  <c r="I10" i="1"/>
  <c r="D11" i="2" l="1"/>
  <c r="E11" i="2" s="1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D20" i="2"/>
  <c r="D43" i="1"/>
  <c r="D138" i="1" s="1"/>
  <c r="C102" i="1"/>
  <c r="H74" i="1"/>
  <c r="D18" i="1"/>
  <c r="D20" i="1" s="1"/>
  <c r="C78" i="1"/>
  <c r="D21" i="1" l="1"/>
  <c r="D22" i="1" s="1"/>
  <c r="D44" i="1" s="1"/>
  <c r="D59" i="1" s="1"/>
  <c r="D16" i="2" s="1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D5" i="2"/>
  <c r="E20" i="2"/>
  <c r="F20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J102" i="1"/>
  <c r="H102" i="1" s="1"/>
  <c r="D184" i="1"/>
  <c r="E79" i="1"/>
  <c r="C80" i="1" s="1"/>
  <c r="J80" i="1" s="1"/>
  <c r="H80" i="1" s="1"/>
  <c r="J78" i="1"/>
  <c r="D142" i="1" l="1"/>
  <c r="E5" i="2"/>
  <c r="D6" i="2"/>
  <c r="D7" i="2" s="1"/>
  <c r="S20" i="2"/>
  <c r="H78" i="1"/>
  <c r="D60" i="1"/>
  <c r="D64" i="1" s="1"/>
  <c r="C101" i="1"/>
  <c r="C100" i="1" s="1"/>
  <c r="D183" i="1" s="1"/>
  <c r="F5" i="2" l="1"/>
  <c r="E6" i="2"/>
  <c r="E7" i="2" s="1"/>
  <c r="C93" i="1"/>
  <c r="D185" i="1" s="1"/>
  <c r="D166" i="1"/>
  <c r="G5" i="2" l="1"/>
  <c r="F6" i="2"/>
  <c r="F7" i="2" s="1"/>
  <c r="H5" i="2" l="1"/>
  <c r="G6" i="2"/>
  <c r="G7" i="2" s="1"/>
  <c r="H6" i="2" l="1"/>
  <c r="H7" i="2" s="1"/>
  <c r="I5" i="2"/>
  <c r="I6" i="2" l="1"/>
  <c r="I7" i="2" s="1"/>
  <c r="J5" i="2"/>
  <c r="J6" i="2" l="1"/>
  <c r="J7" i="2" s="1"/>
  <c r="K5" i="2"/>
  <c r="K6" i="2" l="1"/>
  <c r="K7" i="2" s="1"/>
  <c r="L5" i="2"/>
  <c r="L6" i="2" l="1"/>
  <c r="L7" i="2" s="1"/>
  <c r="M5" i="2"/>
  <c r="N5" i="2" l="1"/>
  <c r="M6" i="2"/>
  <c r="M7" i="2" s="1"/>
  <c r="N6" i="2" l="1"/>
  <c r="N7" i="2" s="1"/>
  <c r="O5" i="2"/>
  <c r="P5" i="2" l="1"/>
  <c r="O6" i="2"/>
  <c r="O7" i="2" s="1"/>
  <c r="Q5" i="2" l="1"/>
  <c r="P6" i="2"/>
  <c r="P7" i="2" s="1"/>
  <c r="Q6" i="2" l="1"/>
  <c r="Q7" i="2" s="1"/>
  <c r="R5" i="2"/>
  <c r="R6" i="2" s="1"/>
  <c r="R7" i="2" s="1"/>
  <c r="D23" i="2" l="1"/>
  <c r="D24" i="2" s="1"/>
  <c r="E23" i="2" l="1"/>
  <c r="E24" i="2" s="1"/>
  <c r="F23" i="2" l="1"/>
  <c r="F24" i="2" s="1"/>
  <c r="G23" i="2" l="1"/>
  <c r="G24" i="2" s="1"/>
  <c r="H23" i="2" l="1"/>
  <c r="H24" i="2" s="1"/>
  <c r="I23" i="2" l="1"/>
  <c r="I24" i="2" s="1"/>
  <c r="J23" i="2" l="1"/>
  <c r="J24" i="2" s="1"/>
  <c r="K23" i="2" l="1"/>
  <c r="K24" i="2" s="1"/>
  <c r="L23" i="2" l="1"/>
  <c r="L24" i="2" s="1"/>
  <c r="M23" i="2" l="1"/>
  <c r="M24" i="2" s="1"/>
  <c r="N23" i="2" l="1"/>
  <c r="N24" i="2" s="1"/>
  <c r="O23" i="2" l="1"/>
  <c r="O24" i="2" s="1"/>
  <c r="P23" i="2" l="1"/>
  <c r="P24" i="2" s="1"/>
  <c r="Q23" i="2" l="1"/>
  <c r="Q24" i="2" s="1"/>
  <c r="R23" i="2" l="1"/>
  <c r="S23" i="2" s="1"/>
  <c r="R24" i="2" l="1"/>
  <c r="H3" i="1"/>
  <c r="R17" i="2"/>
  <c r="J26" i="2"/>
  <c r="J21" i="2"/>
  <c r="J19" i="2"/>
  <c r="H90" i="1"/>
  <c r="J90" i="1"/>
  <c r="C90" i="1"/>
  <c r="D187" i="1"/>
  <c r="D170" i="1"/>
  <c r="F26" i="2"/>
  <c r="F21" i="2"/>
  <c r="F19" i="2"/>
  <c r="R10" i="2"/>
  <c r="Q10" i="2"/>
  <c r="P10" i="2"/>
  <c r="O10" i="2"/>
  <c r="N10" i="2"/>
  <c r="E10" i="2"/>
  <c r="F10" i="2"/>
  <c r="G10" i="2"/>
  <c r="H10" i="2"/>
  <c r="I10" i="2"/>
  <c r="J10" i="2"/>
  <c r="K10" i="2"/>
  <c r="L10" i="2"/>
  <c r="M10" i="2"/>
  <c r="D169" i="1"/>
  <c r="D135" i="1"/>
  <c r="D133" i="1"/>
  <c r="F12" i="2"/>
  <c r="F14" i="2"/>
  <c r="F17" i="2"/>
  <c r="E123" i="1"/>
  <c r="H19" i="2"/>
  <c r="H21" i="2"/>
  <c r="H26" i="2"/>
  <c r="G26" i="2"/>
  <c r="G21" i="2"/>
  <c r="G19" i="2"/>
  <c r="C91" i="1"/>
  <c r="Q26" i="2"/>
  <c r="Q21" i="2"/>
  <c r="Q19" i="2"/>
  <c r="N17" i="2"/>
  <c r="E174" i="1"/>
  <c r="S21" i="2"/>
  <c r="K17" i="2"/>
  <c r="R9" i="2"/>
  <c r="R12" i="2"/>
  <c r="R14" i="2"/>
  <c r="R19" i="2"/>
  <c r="R21" i="2"/>
  <c r="R26" i="2"/>
  <c r="H12" i="2"/>
  <c r="H14" i="2"/>
  <c r="H17" i="2"/>
  <c r="P17" i="2"/>
  <c r="D177" i="1"/>
  <c r="H115" i="1"/>
  <c r="E113" i="1"/>
  <c r="E115" i="1"/>
  <c r="F115" i="1"/>
  <c r="L26" i="2"/>
  <c r="L21" i="2"/>
  <c r="L19" i="2"/>
  <c r="E3" i="1"/>
  <c r="E4" i="1"/>
  <c r="M17" i="2"/>
  <c r="E17" i="2"/>
  <c r="D19" i="2"/>
  <c r="D21" i="2"/>
  <c r="D26" i="2"/>
  <c r="S26" i="2"/>
  <c r="Q9" i="2"/>
  <c r="Q12" i="2"/>
  <c r="Q14" i="2"/>
  <c r="Q17" i="2"/>
  <c r="D153" i="1"/>
  <c r="D158" i="1"/>
  <c r="D161" i="1"/>
  <c r="E172" i="1"/>
  <c r="O19" i="2"/>
  <c r="O21" i="2"/>
  <c r="O26" i="2"/>
  <c r="E2" i="1"/>
  <c r="P9" i="2"/>
  <c r="P12" i="2"/>
  <c r="P14" i="2"/>
  <c r="P19" i="2"/>
  <c r="P21" i="2"/>
  <c r="P26" i="2"/>
  <c r="I17" i="2"/>
  <c r="D176" i="1"/>
  <c r="D178" i="1"/>
  <c r="D172" i="1"/>
  <c r="D189" i="1"/>
  <c r="J104" i="1"/>
  <c r="D123" i="1"/>
  <c r="D126" i="1"/>
  <c r="D127" i="1"/>
  <c r="D128" i="1"/>
  <c r="D129" i="1"/>
  <c r="D130" i="1"/>
  <c r="D132" i="1"/>
  <c r="C98" i="1"/>
  <c r="K12" i="2"/>
  <c r="K14" i="2"/>
  <c r="K19" i="2"/>
  <c r="K21" i="2"/>
  <c r="K26" i="2"/>
  <c r="M12" i="2"/>
  <c r="M14" i="2"/>
  <c r="M19" i="2"/>
  <c r="M21" i="2"/>
  <c r="M26" i="2"/>
  <c r="H2" i="1"/>
  <c r="D12" i="2"/>
  <c r="D14" i="2"/>
  <c r="D17" i="2"/>
  <c r="L12" i="2"/>
  <c r="L14" i="2"/>
  <c r="L17" i="2"/>
  <c r="D188" i="1"/>
  <c r="D110" i="1"/>
  <c r="D111" i="1"/>
  <c r="D113" i="1"/>
  <c r="D115" i="1"/>
  <c r="D171" i="1"/>
  <c r="C104" i="1"/>
  <c r="D182" i="1"/>
  <c r="D191" i="1"/>
  <c r="C89" i="1"/>
  <c r="J89" i="1"/>
  <c r="H89" i="1"/>
  <c r="H104" i="1"/>
  <c r="E110" i="1"/>
  <c r="E111" i="1"/>
  <c r="E124" i="1"/>
  <c r="E126" i="1"/>
  <c r="E127" i="1"/>
  <c r="E128" i="1"/>
  <c r="E129" i="1"/>
  <c r="E130" i="1"/>
  <c r="E132" i="1"/>
  <c r="E133" i="1"/>
  <c r="E135" i="1"/>
  <c r="D168" i="1"/>
  <c r="D186" i="1"/>
  <c r="N12" i="2"/>
  <c r="N14" i="2"/>
  <c r="N19" i="2"/>
  <c r="N21" i="2"/>
  <c r="N26" i="2"/>
  <c r="E12" i="2"/>
  <c r="E14" i="2"/>
  <c r="E19" i="2"/>
  <c r="E21" i="2"/>
  <c r="E26" i="2"/>
  <c r="G12" i="2"/>
  <c r="G14" i="2"/>
  <c r="G17" i="2"/>
  <c r="I12" i="2"/>
  <c r="I14" i="2"/>
  <c r="I19" i="2"/>
  <c r="I21" i="2"/>
  <c r="I26" i="2"/>
  <c r="K9" i="2"/>
  <c r="L9" i="2"/>
  <c r="M9" i="2"/>
  <c r="N9" i="2"/>
  <c r="O9" i="2"/>
  <c r="O12" i="2"/>
  <c r="O14" i="2"/>
  <c r="O17" i="2"/>
  <c r="D139" i="1"/>
  <c r="D140" i="1"/>
  <c r="D143" i="1"/>
  <c r="D148" i="1"/>
  <c r="D149" i="1"/>
  <c r="D10" i="2"/>
  <c r="D9" i="2"/>
  <c r="E9" i="2"/>
  <c r="F9" i="2"/>
  <c r="G9" i="2"/>
  <c r="H9" i="2"/>
  <c r="I9" i="2"/>
  <c r="J9" i="2"/>
  <c r="J12" i="2"/>
  <c r="J14" i="2"/>
  <c r="J17" i="2"/>
</calcChain>
</file>

<file path=xl/sharedStrings.xml><?xml version="1.0" encoding="utf-8"?>
<sst xmlns="http://schemas.openxmlformats.org/spreadsheetml/2006/main" count="265" uniqueCount="247">
  <si>
    <t>Sawdust Lofts</t>
  </si>
  <si>
    <t>Total Building SF:</t>
  </si>
  <si>
    <t>Basement:</t>
  </si>
  <si>
    <t>none (slab on grade)</t>
  </si>
  <si>
    <t>1st Floor:</t>
  </si>
  <si>
    <t>2nd Floor:</t>
  </si>
  <si>
    <t>3rd Floor:</t>
  </si>
  <si>
    <t>4th Floor:</t>
  </si>
  <si>
    <t>1st Floor</t>
  </si>
  <si>
    <t>2nd Floor</t>
  </si>
  <si>
    <t>3rd Floor</t>
  </si>
  <si>
    <t>Apt Units</t>
  </si>
  <si>
    <t>1BR</t>
  </si>
  <si>
    <t>2BR</t>
  </si>
  <si>
    <t>3BR</t>
  </si>
  <si>
    <t>Total</t>
  </si>
  <si>
    <t>Underwriting Assumptions</t>
  </si>
  <si>
    <t>Rents</t>
  </si>
  <si>
    <t>1 BR</t>
  </si>
  <si>
    <t>2 BR</t>
  </si>
  <si>
    <t>3 BR</t>
  </si>
  <si>
    <t>PUPM</t>
  </si>
  <si>
    <t>PUPY</t>
  </si>
  <si>
    <t>Totals</t>
  </si>
  <si>
    <t>Yrly Totals</t>
  </si>
  <si>
    <t>Operating Expenses:</t>
  </si>
  <si>
    <t>Replacement Reserves:</t>
  </si>
  <si>
    <t>(includes Property Taxes)</t>
  </si>
  <si>
    <t>Total Op Ex &amp; RR:</t>
  </si>
  <si>
    <t>Total Project Annual Op Ex &amp; RR:</t>
  </si>
  <si>
    <t>Annual Operating Income:</t>
  </si>
  <si>
    <t>Required Debt Coverage Ratio (DCR):</t>
  </si>
  <si>
    <t>Annually</t>
  </si>
  <si>
    <t>Monthly</t>
  </si>
  <si>
    <t>Income Available for Debt Payment:</t>
  </si>
  <si>
    <t>Perm Loan Interest Rate:</t>
  </si>
  <si>
    <t>Perm Loan Amortization:</t>
  </si>
  <si>
    <t>Maximum Supportable Perm Loan:</t>
  </si>
  <si>
    <t>yrs</t>
  </si>
  <si>
    <t>Months</t>
  </si>
  <si>
    <t>Building Square Footage (SF):</t>
  </si>
  <si>
    <t>Assumed Costs (aka - Uses or Requirements)</t>
  </si>
  <si>
    <t>Acquisition Costs:</t>
  </si>
  <si>
    <t>Site Costs:</t>
  </si>
  <si>
    <t>Rehab Costs:</t>
  </si>
  <si>
    <t>Per SF</t>
  </si>
  <si>
    <t>General Conditions:</t>
  </si>
  <si>
    <t>CM Profit</t>
  </si>
  <si>
    <t>CM Overhead</t>
  </si>
  <si>
    <t>Contingency</t>
  </si>
  <si>
    <t>Total Hard Costs:</t>
  </si>
  <si>
    <t>Architectural/Engineer</t>
  </si>
  <si>
    <t>Historic Consultants:</t>
  </si>
  <si>
    <t>Includes Application Fees</t>
  </si>
  <si>
    <t>Property Insurance:</t>
  </si>
  <si>
    <t>per year</t>
  </si>
  <si>
    <t>How many months will construction take:</t>
  </si>
  <si>
    <t>How many months will lease-up take:</t>
  </si>
  <si>
    <t>Construction Interest:</t>
  </si>
  <si>
    <t>Lease-up Interest:</t>
  </si>
  <si>
    <t>Construction Loan Fee:</t>
  </si>
  <si>
    <t>Draw Inspection Fees</t>
  </si>
  <si>
    <t>per draw</t>
  </si>
  <si>
    <t>Appraisal</t>
  </si>
  <si>
    <t>Market Study</t>
  </si>
  <si>
    <t>Environmental Reports</t>
  </si>
  <si>
    <t>Surveys</t>
  </si>
  <si>
    <t>Legal Fees</t>
  </si>
  <si>
    <t>Accounting/Cost Certs</t>
  </si>
  <si>
    <t>Title and Recording Fees</t>
  </si>
  <si>
    <t>Tax Credit Syndication</t>
  </si>
  <si>
    <t>Tax Opinion</t>
  </si>
  <si>
    <t>LIHTC</t>
  </si>
  <si>
    <t>Eligible Basis</t>
  </si>
  <si>
    <t>LIHTC App Fee</t>
  </si>
  <si>
    <t>LIHTC Allocation Fee</t>
  </si>
  <si>
    <t>Perm Loan Orig Fee:</t>
  </si>
  <si>
    <t>Marketing</t>
  </si>
  <si>
    <t>Lease-up Reserve:</t>
  </si>
  <si>
    <t>Operation Reserve:</t>
  </si>
  <si>
    <t>Developer Fee:</t>
  </si>
  <si>
    <t>Qualified Rehab Expenditures</t>
  </si>
  <si>
    <t>Historic QREs</t>
  </si>
  <si>
    <t>per unit</t>
  </si>
  <si>
    <t>months</t>
  </si>
  <si>
    <t>Total Development Costs:</t>
  </si>
  <si>
    <t>LIHTC Eligible Basis:</t>
  </si>
  <si>
    <t>Historic Tax Credit Calculations:</t>
  </si>
  <si>
    <t>Qualified Rehab Expenditures (QREs):</t>
  </si>
  <si>
    <t>State Credits</t>
  </si>
  <si>
    <t>Federal Credits</t>
  </si>
  <si>
    <t>Price Per Credit:</t>
  </si>
  <si>
    <t>Equity Raised:</t>
  </si>
  <si>
    <t>% to Sell (state) or Allocate (Fed)</t>
  </si>
  <si>
    <t>Credits Avail to Sell or Allocate</t>
  </si>
  <si>
    <t>Total Historic Equity</t>
  </si>
  <si>
    <t>of Total Development Costs</t>
  </si>
  <si>
    <t>Deduct Federal Historic Credits:</t>
  </si>
  <si>
    <t>Subtotal Eligible Basis:</t>
  </si>
  <si>
    <t>Residential Fraction:</t>
  </si>
  <si>
    <t>(Percent of the development that is residential vs commercial)</t>
  </si>
  <si>
    <t>QCT Boost:</t>
  </si>
  <si>
    <t>Total Adjusted Basis:</t>
  </si>
  <si>
    <t>Deduct Grants to the Project:</t>
  </si>
  <si>
    <t>Grants must be subtracted so are normally structured as loans instead</t>
  </si>
  <si>
    <t>Applicable Fraction:</t>
  </si>
  <si>
    <t>(Percent of the residential units that are Low Income vs Market Rate)</t>
  </si>
  <si>
    <t>Applicable Rate:</t>
  </si>
  <si>
    <t>(there is 9% competitive, 4% Fed/4% State Competitive and 4% non-competitive)</t>
  </si>
  <si>
    <t>Credit Amount Calculated:</t>
  </si>
  <si>
    <t>Federal LIHTC Calculations:</t>
  </si>
  <si>
    <t>Price per Credit:</t>
  </si>
  <si>
    <t>Total Federal LIHTC Equity Raised:</t>
  </si>
  <si>
    <t>no</t>
  </si>
  <si>
    <t>Note: Rents on LIHTC units cannot exceed WHEDA Rent Limits per county and must include utility allowances</t>
  </si>
  <si>
    <t>(GAP) or Surplus:</t>
  </si>
  <si>
    <t>Per Unit TDCs:</t>
  </si>
  <si>
    <t>TIF Calculations</t>
  </si>
  <si>
    <t>Gross Potential Annual Rent:</t>
  </si>
  <si>
    <t>Vacancy Factor:</t>
  </si>
  <si>
    <t>Expected Annual Rental Income:</t>
  </si>
  <si>
    <t>(Rent after Vacancy Factor)</t>
  </si>
  <si>
    <t>Projected Annual Expenses &amp; Reserves:</t>
  </si>
  <si>
    <t>Less RE Taxes included in Expenses:</t>
  </si>
  <si>
    <t>Total Expenses and Reserves less Taxes:</t>
  </si>
  <si>
    <t>Operating Income before RE Taxes:</t>
  </si>
  <si>
    <t>Base CAP Rate:</t>
  </si>
  <si>
    <t>Real Estate Tax Rate:</t>
  </si>
  <si>
    <t>Overall CAP Rate:</t>
  </si>
  <si>
    <t>Building Value based on Overall CAP Rate:</t>
  </si>
  <si>
    <t>Real Estate Taxes after Completion:</t>
  </si>
  <si>
    <t>Current Real Estate Taxes:</t>
  </si>
  <si>
    <t>Based off of Acquisition Price - Verify if correct</t>
  </si>
  <si>
    <t>Annual TIF Fees to Municipality:</t>
  </si>
  <si>
    <t>Annual Tax Increment:</t>
  </si>
  <si>
    <t>Maximum TIF Years allowed:</t>
  </si>
  <si>
    <t>Can go out to 27 years, but dictated by Municipality</t>
  </si>
  <si>
    <t>Maximum % of TIF allowed:</t>
  </si>
  <si>
    <t>Determined by Municipality</t>
  </si>
  <si>
    <t>TIF Loan Rate:</t>
  </si>
  <si>
    <t>TIF Loan Amortization:</t>
  </si>
  <si>
    <t>Minimum Acceptable DCR by TIF Lender:</t>
  </si>
  <si>
    <t>Match Max TIF years allowed</t>
  </si>
  <si>
    <t>Increment Available for Debt Service:</t>
  </si>
  <si>
    <t>Negotiable with Lender (WHEDA will go to 1.0 if they are also in 1st Mortgage)</t>
  </si>
  <si>
    <t>Supportable TIF Loan:</t>
  </si>
  <si>
    <t>Note: Does not factor in for inflation/appreciation</t>
  </si>
  <si>
    <t xml:space="preserve">Sources </t>
  </si>
  <si>
    <t>Acquisition Loan:</t>
  </si>
  <si>
    <t>1st Mortgage Loan:</t>
  </si>
  <si>
    <t>20% Federal Historic Tax Credit Equity:</t>
  </si>
  <si>
    <t>20% State Historic Tax Credit Equity:</t>
  </si>
  <si>
    <t>Developer Funded TIF Loan:</t>
  </si>
  <si>
    <t>Other Grants as Loans:</t>
  </si>
  <si>
    <t>Total Sources:</t>
  </si>
  <si>
    <t>Construction Loan Sizing</t>
  </si>
  <si>
    <t>less Reserves</t>
  </si>
  <si>
    <t>less Developer Fees:</t>
  </si>
  <si>
    <t>less Perm Loan Costs:</t>
  </si>
  <si>
    <t>less LIHTC Equity</t>
  </si>
  <si>
    <t>less Fed Historic Equity</t>
  </si>
  <si>
    <t>less State Historic Equity</t>
  </si>
  <si>
    <t>less TIF Loan</t>
  </si>
  <si>
    <t>Total Construction Loan Required:</t>
  </si>
  <si>
    <t>Construction Interest Rate:</t>
  </si>
  <si>
    <t>Federal</t>
  </si>
  <si>
    <t>State</t>
  </si>
  <si>
    <t>15 year Forecast</t>
  </si>
  <si>
    <t>Income Inflation:</t>
  </si>
  <si>
    <t>Expense Inflation:</t>
  </si>
  <si>
    <t>Gross Potential Income:</t>
  </si>
  <si>
    <t>Expected Annual Income:</t>
  </si>
  <si>
    <t>Expenses (less taxes):</t>
  </si>
  <si>
    <t>RE Taxes:</t>
  </si>
  <si>
    <t>Reserves:</t>
  </si>
  <si>
    <t>Total Expenses and Reserves:</t>
  </si>
  <si>
    <t>Net Operating Income:</t>
  </si>
  <si>
    <t>1st Mortgage Debt:</t>
  </si>
  <si>
    <t>DCR on 1st Mortgage:</t>
  </si>
  <si>
    <t>Cash Flow before Investor Fee:</t>
  </si>
  <si>
    <t>Investor Asset Management Fee:</t>
  </si>
  <si>
    <t>Cash Flow for Deferred Dev Fee:</t>
  </si>
  <si>
    <t>Def. Developer Fee:</t>
  </si>
  <si>
    <t>Cash Flow:</t>
  </si>
  <si>
    <t>Deferred Developer Fee Loan:</t>
  </si>
  <si>
    <t>Max Allowed</t>
  </si>
  <si>
    <t>Will this qualify for Federal Historic Tax Credits:</t>
  </si>
  <si>
    <t>Will this qualify for State Historic Tax Credits:</t>
  </si>
  <si>
    <t>Credits Available:</t>
  </si>
  <si>
    <t>State LIHTCs</t>
  </si>
  <si>
    <t>Fed. LIHTCs</t>
  </si>
  <si>
    <t>Fed Acq Cs</t>
  </si>
  <si>
    <t>Will this qualify for Federal Acquisition Credits:</t>
  </si>
  <si>
    <t>Will this qualifty for 4% State LIHTCs:</t>
  </si>
  <si>
    <t>Will this qualify for 4% or 9% Fed LIHTCs</t>
  </si>
  <si>
    <t>Credits Received over 6 (State) or 10 (Fed) years:</t>
  </si>
  <si>
    <t>(can only be used with 4% competitive Fed LIHTCs)</t>
  </si>
  <si>
    <t>4% Federal Acquistion Equity</t>
  </si>
  <si>
    <t>Federal LIHTC Equity:</t>
  </si>
  <si>
    <t>4% State LIHTC Equity:</t>
  </si>
  <si>
    <t>Supportable TIF Loan</t>
  </si>
  <si>
    <t>Note: WHEDA's 2023 max cost limit for new construction/adaptive reuse is $409,906 per unit</t>
  </si>
  <si>
    <t>DCR YR 1:</t>
  </si>
  <si>
    <t>DCR YR15:</t>
  </si>
  <si>
    <t>DCR can't drop below 1.15</t>
  </si>
  <si>
    <t>Income Limits Based on Family Size</t>
  </si>
  <si>
    <t>Single</t>
  </si>
  <si>
    <t>% of County Median Income</t>
  </si>
  <si>
    <t>Maximum Allowable Rents Based on Bedroom Count</t>
  </si>
  <si>
    <t>Eff.</t>
  </si>
  <si>
    <t>1</t>
  </si>
  <si>
    <t>2</t>
  </si>
  <si>
    <t>3</t>
  </si>
  <si>
    <t>4</t>
  </si>
  <si>
    <t>5</t>
  </si>
  <si>
    <t>6</t>
  </si>
  <si>
    <t>AVE SF.</t>
  </si>
  <si>
    <t>Rent/SF</t>
  </si>
  <si>
    <t xml:space="preserve">Project must be located in a QCT and Boost % (15,20 or 30%) is set by WHEDA </t>
  </si>
  <si>
    <t>LIHTC Rent and Income Limits for Winnebago County in 2022</t>
  </si>
  <si>
    <t>WHEDA Underwiring Standards for Operating and Replacement Reserves PUPY:</t>
  </si>
  <si>
    <t xml:space="preserve">to </t>
  </si>
  <si>
    <t>Single Family Homes/Duplexes:</t>
  </si>
  <si>
    <t>Multifamily - Elderly:</t>
  </si>
  <si>
    <t xml:space="preserve">Multifamily - Family/other: </t>
  </si>
  <si>
    <t>WHEDA Underwiring Standards for Replacement Reserves PUPY:</t>
  </si>
  <si>
    <t>Single Family Homes/Duplexes &gt;:</t>
  </si>
  <si>
    <t>New Construction - Elderly:</t>
  </si>
  <si>
    <t xml:space="preserve">New Construction - Family/other: </t>
  </si>
  <si>
    <t>Equity:</t>
  </si>
  <si>
    <t>Debt:</t>
  </si>
  <si>
    <t>Equity</t>
  </si>
  <si>
    <t>Other Funds:</t>
  </si>
  <si>
    <t>Debt</t>
  </si>
  <si>
    <t>913-915 S.  Main Street</t>
  </si>
  <si>
    <t>Oshkosh, WI</t>
  </si>
  <si>
    <t>Password: WEDA</t>
  </si>
  <si>
    <t>Average</t>
  </si>
  <si>
    <t>yes</t>
  </si>
  <si>
    <t>This Proforma Available at: https://www.dropbox.com/s/z2dd5thc34to2mw/Proforma.xlsx?dl=0</t>
  </si>
  <si>
    <t>PG 1 OF 7</t>
  </si>
  <si>
    <t>PG 2 OF 7</t>
  </si>
  <si>
    <t>PG 3 OF 7</t>
  </si>
  <si>
    <t>PG 4 OF 7</t>
  </si>
  <si>
    <t>PG 5 OF 7</t>
  </si>
  <si>
    <t>PG 6 OF 7</t>
  </si>
  <si>
    <t>PG 7 0F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</si>
</sst>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lightUp">
        <fgColor auto="1"/>
        <bgColor auto="1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165" fontId="0" fillId="0" borderId="0" xfId="2" applyNumberFormat="1" applyFont="1"/>
    <xf numFmtId="165" fontId="3" fillId="0" borderId="0" xfId="2" applyNumberFormat="1" applyFont="1"/>
    <xf numFmtId="165" fontId="0" fillId="0" borderId="0" xfId="0" applyNumberFormat="1"/>
    <xf numFmtId="165" fontId="3" fillId="0" borderId="0" xfId="0" applyNumberFormat="1" applyFont="1"/>
    <xf numFmtId="9" fontId="0" fillId="0" borderId="0" xfId="3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3" borderId="0" xfId="0" applyFill="1"/>
    <xf numFmtId="165" fontId="2" fillId="0" borderId="0" xfId="0" applyNumberFormat="1" applyFont="1"/>
    <xf numFmtId="9" fontId="4" fillId="0" borderId="0" xfId="3" applyFont="1" applyFill="1"/>
    <xf numFmtId="10" fontId="4" fillId="0" borderId="0" xfId="3" applyNumberFormat="1" applyFont="1" applyFill="1"/>
    <xf numFmtId="166" fontId="3" fillId="0" borderId="0" xfId="0" applyNumberFormat="1" applyFont="1"/>
    <xf numFmtId="164" fontId="5" fillId="0" borderId="0" xfId="1" applyNumberFormat="1" applyFont="1" applyFill="1"/>
    <xf numFmtId="165" fontId="4" fillId="0" borderId="0" xfId="2" applyNumberFormat="1" applyFont="1" applyFill="1"/>
    <xf numFmtId="6" fontId="3" fillId="0" borderId="0" xfId="0" applyNumberFormat="1" applyFont="1" applyAlignment="1">
      <alignment horizontal="left"/>
    </xf>
    <xf numFmtId="9" fontId="0" fillId="0" borderId="0" xfId="0" applyNumberFormat="1"/>
    <xf numFmtId="3" fontId="0" fillId="0" borderId="0" xfId="0" applyNumberFormat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44" fontId="5" fillId="0" borderId="0" xfId="2" applyFont="1" applyFill="1"/>
    <xf numFmtId="0" fontId="0" fillId="0" borderId="8" xfId="0" applyBorder="1"/>
    <xf numFmtId="2" fontId="0" fillId="0" borderId="9" xfId="0" applyNumberForma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 applyAlignment="1">
      <alignment horizontal="left"/>
    </xf>
    <xf numFmtId="0" fontId="0" fillId="0" borderId="12" xfId="0" applyBorder="1"/>
    <xf numFmtId="0" fontId="0" fillId="0" borderId="13" xfId="0" applyBorder="1"/>
    <xf numFmtId="165" fontId="3" fillId="4" borderId="0" xfId="0" applyNumberFormat="1" applyFont="1" applyFill="1"/>
    <xf numFmtId="0" fontId="3" fillId="0" borderId="0" xfId="0" applyFont="1" applyAlignment="1">
      <alignment horizontal="center" vertical="top" wrapText="1"/>
    </xf>
    <xf numFmtId="9" fontId="6" fillId="0" borderId="0" xfId="3" applyFont="1" applyFill="1" applyBorder="1"/>
    <xf numFmtId="164" fontId="1" fillId="0" borderId="0" xfId="1" applyNumberFormat="1" applyFont="1" applyFill="1" applyAlignment="1">
      <alignment horizontal="center"/>
    </xf>
    <xf numFmtId="0" fontId="4" fillId="0" borderId="0" xfId="0" applyFont="1"/>
    <xf numFmtId="165" fontId="4" fillId="2" borderId="0" xfId="2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10" fontId="4" fillId="2" borderId="0" xfId="3" applyNumberFormat="1" applyFont="1" applyFill="1" applyProtection="1">
      <protection locked="0"/>
    </xf>
    <xf numFmtId="0" fontId="3" fillId="0" borderId="0" xfId="0" applyFont="1" applyProtection="1">
      <protection locked="0"/>
    </xf>
    <xf numFmtId="10" fontId="4" fillId="0" borderId="0" xfId="3" applyNumberFormat="1" applyFont="1" applyFill="1" applyProtection="1">
      <protection locked="0"/>
    </xf>
    <xf numFmtId="164" fontId="0" fillId="0" borderId="0" xfId="0" applyNumberFormat="1" applyProtection="1">
      <protection locked="0"/>
    </xf>
    <xf numFmtId="164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10" fontId="6" fillId="0" borderId="0" xfId="3" applyNumberFormat="1" applyFont="1" applyFill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9" fontId="6" fillId="0" borderId="1" xfId="3" applyFont="1" applyFill="1" applyBorder="1" applyProtection="1">
      <protection locked="0"/>
    </xf>
    <xf numFmtId="164" fontId="1" fillId="0" borderId="0" xfId="1" applyNumberFormat="1" applyFont="1" applyFill="1" applyProtection="1">
      <protection locked="0"/>
    </xf>
    <xf numFmtId="164" fontId="1" fillId="0" borderId="0" xfId="1" applyNumberFormat="1" applyFont="1" applyFill="1" applyBorder="1" applyAlignment="1" applyProtection="1">
      <alignment horizontal="center"/>
      <protection locked="0"/>
    </xf>
    <xf numFmtId="164" fontId="1" fillId="0" borderId="0" xfId="1" applyNumberFormat="1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44" fontId="4" fillId="2" borderId="0" xfId="2" applyFont="1" applyFill="1" applyProtection="1">
      <protection locked="0"/>
    </xf>
    <xf numFmtId="9" fontId="4" fillId="2" borderId="0" xfId="3" applyFont="1" applyFill="1" applyProtection="1">
      <protection locked="0"/>
    </xf>
    <xf numFmtId="165" fontId="2" fillId="0" borderId="0" xfId="0" applyNumberFormat="1" applyFont="1" applyProtection="1">
      <protection locked="0"/>
    </xf>
    <xf numFmtId="166" fontId="4" fillId="2" borderId="0" xfId="3" applyNumberFormat="1" applyFont="1" applyFill="1" applyProtection="1">
      <protection locked="0"/>
    </xf>
    <xf numFmtId="164" fontId="4" fillId="2" borderId="0" xfId="1" applyNumberFormat="1" applyFont="1" applyFill="1" applyProtection="1">
      <protection locked="0"/>
    </xf>
    <xf numFmtId="43" fontId="4" fillId="2" borderId="0" xfId="1" applyFont="1" applyFill="1" applyProtection="1">
      <protection locked="0"/>
    </xf>
    <xf numFmtId="165" fontId="5" fillId="0" borderId="0" xfId="2" applyNumberFormat="1" applyFont="1" applyFill="1"/>
    <xf numFmtId="3" fontId="4" fillId="2" borderId="0" xfId="0" applyNumberFormat="1" applyFont="1" applyFill="1" applyProtection="1">
      <protection locked="0"/>
    </xf>
    <xf numFmtId="9" fontId="0" fillId="0" borderId="0" xfId="3" applyFont="1" applyProtection="1">
      <protection locked="0"/>
    </xf>
    <xf numFmtId="0" fontId="7" fillId="0" borderId="0" xfId="0" applyFont="1"/>
    <xf numFmtId="9" fontId="4" fillId="2" borderId="0" xfId="3" applyFont="1" applyFill="1" applyAlignment="1" applyProtection="1">
      <alignment horizontal="left"/>
      <protection locked="0"/>
    </xf>
    <xf numFmtId="164" fontId="4" fillId="2" borderId="0" xfId="1" applyNumberFormat="1" applyFont="1" applyFill="1" applyBorder="1" applyProtection="1">
      <protection locked="0"/>
    </xf>
    <xf numFmtId="0" fontId="3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19" xfId="0" applyFont="1" applyBorder="1"/>
    <xf numFmtId="0" fontId="3" fillId="0" borderId="20" xfId="0" applyFont="1" applyBorder="1"/>
    <xf numFmtId="164" fontId="3" fillId="0" borderId="21" xfId="1" applyNumberFormat="1" applyFont="1" applyBorder="1"/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1" xfId="0" applyFont="1" applyBorder="1"/>
    <xf numFmtId="165" fontId="4" fillId="2" borderId="0" xfId="2" applyNumberFormat="1" applyFont="1" applyFill="1" applyBorder="1" applyProtection="1">
      <protection locked="0"/>
    </xf>
    <xf numFmtId="165" fontId="0" fillId="0" borderId="0" xfId="2" applyNumberFormat="1" applyFont="1" applyBorder="1"/>
    <xf numFmtId="164" fontId="2" fillId="0" borderId="0" xfId="1" applyNumberFormat="1" applyFont="1" applyBorder="1" applyProtection="1">
      <protection locked="0"/>
    </xf>
    <xf numFmtId="44" fontId="0" fillId="0" borderId="18" xfId="2" applyFont="1" applyBorder="1"/>
    <xf numFmtId="165" fontId="3" fillId="0" borderId="20" xfId="2" applyNumberFormat="1" applyFont="1" applyBorder="1"/>
    <xf numFmtId="0" fontId="0" fillId="0" borderId="14" xfId="0" applyBorder="1"/>
    <xf numFmtId="164" fontId="0" fillId="0" borderId="15" xfId="0" applyNumberFormat="1" applyBorder="1"/>
    <xf numFmtId="164" fontId="0" fillId="0" borderId="16" xfId="0" applyNumberFormat="1" applyBorder="1"/>
    <xf numFmtId="10" fontId="4" fillId="2" borderId="0" xfId="3" applyNumberFormat="1" applyFont="1" applyFill="1" applyBorder="1" applyProtection="1">
      <protection locked="0"/>
    </xf>
    <xf numFmtId="164" fontId="0" fillId="0" borderId="18" xfId="0" applyNumberFormat="1" applyBorder="1"/>
    <xf numFmtId="10" fontId="4" fillId="0" borderId="20" xfId="3" applyNumberFormat="1" applyFont="1" applyFill="1" applyBorder="1"/>
    <xf numFmtId="164" fontId="0" fillId="0" borderId="20" xfId="0" applyNumberFormat="1" applyBorder="1"/>
    <xf numFmtId="164" fontId="3" fillId="0" borderId="21" xfId="0" applyNumberFormat="1" applyFont="1" applyBorder="1"/>
    <xf numFmtId="165" fontId="4" fillId="2" borderId="15" xfId="2" applyNumberFormat="1" applyFont="1" applyFill="1" applyBorder="1" applyProtection="1">
      <protection locked="0"/>
    </xf>
    <xf numFmtId="0" fontId="3" fillId="0" borderId="17" xfId="0" applyFont="1" applyBorder="1"/>
    <xf numFmtId="165" fontId="3" fillId="0" borderId="0" xfId="2" applyNumberFormat="1" applyFont="1" applyBorder="1"/>
    <xf numFmtId="0" fontId="0" fillId="0" borderId="20" xfId="0" applyBorder="1"/>
    <xf numFmtId="165" fontId="3" fillId="0" borderId="20" xfId="0" applyNumberFormat="1" applyFont="1" applyBorder="1"/>
    <xf numFmtId="0" fontId="0" fillId="0" borderId="21" xfId="0" applyBorder="1"/>
    <xf numFmtId="165" fontId="3" fillId="0" borderId="15" xfId="0" applyNumberFormat="1" applyFont="1" applyBorder="1"/>
    <xf numFmtId="165" fontId="0" fillId="0" borderId="18" xfId="0" applyNumberFormat="1" applyBorder="1"/>
    <xf numFmtId="0" fontId="0" fillId="0" borderId="19" xfId="0" applyBorder="1"/>
    <xf numFmtId="165" fontId="0" fillId="0" borderId="20" xfId="0" applyNumberFormat="1" applyBorder="1"/>
    <xf numFmtId="0" fontId="0" fillId="0" borderId="20" xfId="0" applyBorder="1" applyAlignment="1">
      <alignment horizontal="center"/>
    </xf>
    <xf numFmtId="165" fontId="0" fillId="0" borderId="20" xfId="2" applyNumberFormat="1" applyFont="1" applyBorder="1"/>
    <xf numFmtId="165" fontId="0" fillId="0" borderId="21" xfId="0" applyNumberFormat="1" applyBorder="1"/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15" xfId="0" applyFont="1" applyFill="1" applyBorder="1" applyProtection="1">
      <protection locked="0"/>
    </xf>
    <xf numFmtId="10" fontId="0" fillId="0" borderId="0" xfId="3" applyNumberFormat="1" applyFont="1" applyBorder="1"/>
    <xf numFmtId="9" fontId="0" fillId="0" borderId="0" xfId="3" applyFont="1" applyBorder="1"/>
    <xf numFmtId="9" fontId="4" fillId="0" borderId="0" xfId="3" applyFont="1" applyFill="1" applyBorder="1"/>
    <xf numFmtId="164" fontId="0" fillId="0" borderId="0" xfId="1" applyNumberFormat="1" applyFont="1" applyBorder="1"/>
    <xf numFmtId="9" fontId="4" fillId="2" borderId="0" xfId="3" applyFont="1" applyFill="1" applyBorder="1" applyProtection="1">
      <protection locked="0"/>
    </xf>
    <xf numFmtId="44" fontId="4" fillId="2" borderId="0" xfId="2" applyFont="1" applyFill="1" applyBorder="1" applyProtection="1">
      <protection locked="0"/>
    </xf>
    <xf numFmtId="9" fontId="1" fillId="0" borderId="20" xfId="3" applyFont="1" applyBorder="1"/>
    <xf numFmtId="9" fontId="4" fillId="2" borderId="17" xfId="3" applyFont="1" applyFill="1" applyBorder="1" applyProtection="1">
      <protection locked="0"/>
    </xf>
    <xf numFmtId="165" fontId="0" fillId="0" borderId="18" xfId="2" applyNumberFormat="1" applyFont="1" applyBorder="1"/>
    <xf numFmtId="9" fontId="4" fillId="0" borderId="17" xfId="3" applyFont="1" applyFill="1" applyBorder="1"/>
    <xf numFmtId="165" fontId="3" fillId="0" borderId="21" xfId="0" applyNumberFormat="1" applyFont="1" applyBorder="1"/>
    <xf numFmtId="6" fontId="0" fillId="0" borderId="0" xfId="0" applyNumberFormat="1"/>
    <xf numFmtId="9" fontId="0" fillId="0" borderId="0" xfId="0" applyNumberFormat="1" applyAlignment="1">
      <alignment horizontal="left"/>
    </xf>
    <xf numFmtId="165" fontId="0" fillId="0" borderId="0" xfId="0" applyNumberFormat="1" applyProtection="1">
      <protection locked="0"/>
    </xf>
    <xf numFmtId="44" fontId="0" fillId="0" borderId="0" xfId="2" applyFont="1" applyBorder="1"/>
    <xf numFmtId="164" fontId="1" fillId="4" borderId="0" xfId="1" applyNumberFormat="1" applyFont="1" applyFill="1" applyProtection="1">
      <protection locked="0"/>
    </xf>
    <xf numFmtId="164" fontId="1" fillId="4" borderId="0" xfId="1" applyNumberFormat="1" applyFont="1" applyFill="1" applyAlignment="1" applyProtection="1">
      <alignment horizontal="center"/>
      <protection locked="0"/>
    </xf>
    <xf numFmtId="43" fontId="0" fillId="0" borderId="0" xfId="1" applyFont="1"/>
    <xf numFmtId="10" fontId="0" fillId="0" borderId="0" xfId="3" applyNumberFormat="1" applyFont="1"/>
    <xf numFmtId="43" fontId="0" fillId="0" borderId="0" xfId="0" applyNumberFormat="1"/>
    <xf numFmtId="44" fontId="0" fillId="0" borderId="0" xfId="2" applyFont="1"/>
    <xf numFmtId="44" fontId="0" fillId="0" borderId="0" xfId="0" applyNumberFormat="1"/>
    <xf numFmtId="165" fontId="0" fillId="0" borderId="0" xfId="2" applyNumberFormat="1" applyFont="1" applyFill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2" applyNumberFormat="1" applyFont="1" applyAlignment="1">
      <alignment horizontal="center"/>
    </xf>
    <xf numFmtId="165" fontId="0" fillId="0" borderId="0" xfId="2" applyNumberFormat="1" applyFont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4" fillId="2" borderId="0" xfId="2" applyNumberFormat="1" applyFont="1" applyFill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165" fontId="2" fillId="0" borderId="0" xfId="2" applyNumberFormat="1" applyFont="1" applyFill="1" applyAlignment="1" applyProtection="1">
      <alignment horizontal="center"/>
      <protection locked="0"/>
    </xf>
    <xf numFmtId="6" fontId="3" fillId="0" borderId="20" xfId="0" applyNumberFormat="1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B9D-4B2E-B4F6-6AB4F7F3B6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9D-4B2E-B4F6-6AB4F7F3B64D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2B9D-4B2E-B4F6-6AB4F7F3B64D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2B9D-4B2E-B4F6-6AB4F7F3B6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graphics!$A$2:$A$3</c:f>
              <c:strCache>
                <c:ptCount val="2"/>
                <c:pt idx="0">
                  <c:v>Equity</c:v>
                </c:pt>
                <c:pt idx="1">
                  <c:v>Debt</c:v>
                </c:pt>
              </c:strCache>
            </c:strRef>
          </c:cat>
          <c:val>
            <c:numRef>
              <c:f>graphics!$B$2:$B$3</c:f>
              <c:numCache>
                <c:formatCode>0%</c:formatCod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D-4B2E-B4F6-6AB4F7F3B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11439167247271"/>
          <c:y val="0.84045121958115732"/>
          <c:w val="0.28983504142968702"/>
          <c:h val="5.5087427263899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11-48AB-A1AD-871905470E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11-48AB-A1AD-871905470E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011-48AB-A1AD-871905470E91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graphics!$A$5:$A$7</c:f>
              <c:strCache>
                <c:ptCount val="3"/>
                <c:pt idx="0">
                  <c:v>Equity:</c:v>
                </c:pt>
                <c:pt idx="1">
                  <c:v>Debt:</c:v>
                </c:pt>
                <c:pt idx="2">
                  <c:v>Other Funds:</c:v>
                </c:pt>
              </c:strCache>
            </c:strRef>
          </c:cat>
          <c:val>
            <c:numRef>
              <c:f>graphics!$B$5:$B$7</c:f>
              <c:numCache>
                <c:formatCode>0%</c:formatCode>
                <c:ptCount val="3"/>
                <c:pt idx="0">
                  <c:v>0.7</c:v>
                </c:pt>
                <c:pt idx="1">
                  <c:v>0.2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1-48AB-A1AD-871905470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443092340730136"/>
          <c:y val="0.86686606976969316"/>
          <c:w val="0.53226697745814266"/>
          <c:h val="5.9072769700708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613835</xdr:colOff>
      <xdr:row>0</xdr:row>
      <xdr:rowOff>0</xdr:rowOff>
    </xdr:from>
    <xdr:to>
      <xdr:col>7</xdr:col>
      <xdr:colOff>579968</xdr:colOff>
      <xdr:row>21</xdr:row>
      <xdr:rowOff>67734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69863D-B9DE-795A-AA35-C718F0F7C5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0</xdr:row>
      <xdr:rowOff>93135</xdr:rowOff>
    </xdr:from>
    <xdr:to>
      <xdr:col>13</xdr:col>
      <xdr:colOff>376767</xdr:colOff>
      <xdr:row>20</xdr:row>
      <xdr:rowOff>80434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EECF40-3592-4175-97F1-540D2A350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A79A-814C-4B07-9D8C-1944D286F4E4}">
  <sheetPr>
    <pageSetUpPr fitToPage="1"/>
  </sheetPr>
  <dimension ref="A1:L193"/>
  <sheetViews>
    <sheetView tabSelected="1" zoomScale="160" zoomScaleNormal="160" zoomScaleSheetLayoutView="160" workbookViewId="0">
      <pane ySplit="4" topLeftCell="A62" activePane="bottomLeft" state="frozen"/>
      <selection pane="bottomLeft" activeCell="D161" sqref="D161"/>
    </sheetView>
  </sheetViews>
  <sheetFormatPr defaultRowHeight="14.4" x14ac:dyDescent="0.3"/>
  <cols>
    <col min="1" max="1" width="10.33203125" customWidth="1"/>
    <col min="2" max="2" width="12.77734375" customWidth="1"/>
    <col min="3" max="3" width="10.21875" customWidth="1"/>
    <col min="4" max="4" width="11.77734375" customWidth="1"/>
    <col min="5" max="5" width="13.44140625" bestFit="1" customWidth="1"/>
    <col min="6" max="6" width="12.6640625" customWidth="1"/>
    <col min="7" max="7" width="9.88671875" bestFit="1" customWidth="1"/>
    <col min="8" max="8" width="13.109375" customWidth="1"/>
    <col min="9" max="9" width="9.88671875" bestFit="1" customWidth="1"/>
    <col min="10" max="10" width="14.109375" customWidth="1"/>
    <col min="11" max="11" width="9.88671875" bestFit="1" customWidth="1"/>
  </cols>
  <sheetData>
    <row r="1" spans="1:11" x14ac:dyDescent="0.3">
      <c r="A1" s="47" t="s">
        <v>239</v>
      </c>
    </row>
    <row r="2" spans="1:11" x14ac:dyDescent="0.3">
      <c r="A2" s="44" t="s">
        <v>0</v>
      </c>
      <c r="B2" s="45"/>
      <c r="C2" s="3" t="s">
        <v>115</v>
      </c>
      <c r="D2" s="3"/>
      <c r="E2" s="38">
        <f ca="1">+D178</f>
        <v>-258836.64874375146</v>
      </c>
      <c r="G2" s="30" t="s">
        <v>202</v>
      </c>
      <c r="H2" s="31">
        <f ca="1">+Forecast!D17</f>
        <v>1.1999999999999931</v>
      </c>
      <c r="I2" s="32" t="s">
        <v>204</v>
      </c>
      <c r="J2" s="33"/>
      <c r="K2" s="70" t="s">
        <v>236</v>
      </c>
    </row>
    <row r="3" spans="1:11" x14ac:dyDescent="0.3">
      <c r="A3" s="44" t="s">
        <v>234</v>
      </c>
      <c r="B3" s="45"/>
      <c r="C3" t="s">
        <v>85</v>
      </c>
      <c r="E3" s="8">
        <f ca="1">+C104</f>
        <v>7786322.9843003657</v>
      </c>
      <c r="G3" s="34" t="s">
        <v>203</v>
      </c>
      <c r="H3" s="35">
        <f ca="1">+Forecast!R17</f>
        <v>1.2271411025995811</v>
      </c>
      <c r="I3" s="36"/>
      <c r="J3" s="37"/>
    </row>
    <row r="4" spans="1:11" x14ac:dyDescent="0.3">
      <c r="A4" s="44" t="s">
        <v>235</v>
      </c>
      <c r="B4" s="45"/>
      <c r="C4" t="s">
        <v>116</v>
      </c>
      <c r="E4" s="6">
        <f ca="1">+E3/I10</f>
        <v>338535.78192610288</v>
      </c>
      <c r="F4" t="s">
        <v>201</v>
      </c>
    </row>
    <row r="5" spans="1:11" ht="15" thickBot="1" x14ac:dyDescent="0.35"/>
    <row r="6" spans="1:11" s="3" customFormat="1" x14ac:dyDescent="0.3">
      <c r="A6" s="73" t="s">
        <v>40</v>
      </c>
      <c r="B6" s="74"/>
      <c r="C6" s="75"/>
      <c r="E6" s="73" t="s">
        <v>11</v>
      </c>
      <c r="F6" s="81" t="s">
        <v>12</v>
      </c>
      <c r="G6" s="81" t="s">
        <v>13</v>
      </c>
      <c r="H6" s="81" t="s">
        <v>14</v>
      </c>
      <c r="I6" s="82" t="s">
        <v>15</v>
      </c>
    </row>
    <row r="7" spans="1:11" x14ac:dyDescent="0.3">
      <c r="A7" s="76" t="s">
        <v>2</v>
      </c>
      <c r="B7" t="s">
        <v>3</v>
      </c>
      <c r="C7" s="77"/>
      <c r="E7" s="76" t="s">
        <v>8</v>
      </c>
      <c r="F7" s="60"/>
      <c r="G7" s="60"/>
      <c r="H7" s="60">
        <v>5</v>
      </c>
      <c r="I7" s="77">
        <f>+SUM(F7:H7)</f>
        <v>5</v>
      </c>
    </row>
    <row r="8" spans="1:11" x14ac:dyDescent="0.3">
      <c r="A8" s="76" t="s">
        <v>4</v>
      </c>
      <c r="B8" s="72">
        <v>10465</v>
      </c>
      <c r="C8" s="77"/>
      <c r="E8" s="76" t="s">
        <v>9</v>
      </c>
      <c r="F8" s="60">
        <v>2</v>
      </c>
      <c r="G8" s="60">
        <v>7</v>
      </c>
      <c r="H8" s="60"/>
      <c r="I8" s="77">
        <f t="shared" ref="I8:I9" si="0">+SUM(F8:H8)</f>
        <v>9</v>
      </c>
    </row>
    <row r="9" spans="1:11" x14ac:dyDescent="0.3">
      <c r="A9" s="76" t="s">
        <v>5</v>
      </c>
      <c r="B9" s="72">
        <v>10465</v>
      </c>
      <c r="C9" s="77"/>
      <c r="E9" s="76" t="s">
        <v>10</v>
      </c>
      <c r="F9" s="60">
        <v>4</v>
      </c>
      <c r="G9" s="60">
        <v>5</v>
      </c>
      <c r="H9" s="60"/>
      <c r="I9" s="77">
        <f t="shared" si="0"/>
        <v>9</v>
      </c>
    </row>
    <row r="10" spans="1:11" s="3" customFormat="1" ht="15" thickBot="1" x14ac:dyDescent="0.35">
      <c r="A10" s="76" t="s">
        <v>6</v>
      </c>
      <c r="B10" s="72">
        <v>10465</v>
      </c>
      <c r="C10" s="77"/>
      <c r="E10" s="78" t="s">
        <v>15</v>
      </c>
      <c r="F10" s="79">
        <f>+SUM(F7:F9)</f>
        <v>6</v>
      </c>
      <c r="G10" s="79">
        <f t="shared" ref="G10:I10" si="1">+SUM(G7:G9)</f>
        <v>12</v>
      </c>
      <c r="H10" s="79">
        <f t="shared" si="1"/>
        <v>5</v>
      </c>
      <c r="I10" s="83">
        <f t="shared" si="1"/>
        <v>23</v>
      </c>
    </row>
    <row r="11" spans="1:11" s="3" customFormat="1" x14ac:dyDescent="0.3">
      <c r="A11" s="76" t="s">
        <v>7</v>
      </c>
      <c r="B11" s="72">
        <v>1238</v>
      </c>
      <c r="C11" s="77"/>
    </row>
    <row r="12" spans="1:11" s="3" customFormat="1" ht="15" thickBot="1" x14ac:dyDescent="0.35">
      <c r="A12" s="78" t="s">
        <v>1</v>
      </c>
      <c r="B12" s="79"/>
      <c r="C12" s="80">
        <f>+SUM(B8:B11)</f>
        <v>32633</v>
      </c>
    </row>
    <row r="13" spans="1:11" ht="15" thickBot="1" x14ac:dyDescent="0.35"/>
    <row r="14" spans="1:11" s="3" customFormat="1" x14ac:dyDescent="0.3">
      <c r="A14" s="73" t="s">
        <v>17</v>
      </c>
      <c r="B14" s="81" t="s">
        <v>21</v>
      </c>
      <c r="C14" s="81" t="s">
        <v>22</v>
      </c>
      <c r="D14" s="81" t="s">
        <v>24</v>
      </c>
      <c r="E14" s="81" t="s">
        <v>216</v>
      </c>
      <c r="F14" s="82" t="s">
        <v>217</v>
      </c>
    </row>
    <row r="15" spans="1:11" x14ac:dyDescent="0.3">
      <c r="A15" s="76" t="s">
        <v>18</v>
      </c>
      <c r="B15" s="84">
        <v>755</v>
      </c>
      <c r="C15" s="85">
        <f>+B15*12</f>
        <v>9060</v>
      </c>
      <c r="D15" s="85">
        <f>+C15*F10</f>
        <v>54360</v>
      </c>
      <c r="E15" s="86">
        <f>+(736+733+744+746+747+781)/6</f>
        <v>747.83333333333337</v>
      </c>
      <c r="F15" s="87">
        <f>+B15/E15</f>
        <v>1.0095832404724761</v>
      </c>
    </row>
    <row r="16" spans="1:11" x14ac:dyDescent="0.3">
      <c r="A16" s="76" t="s">
        <v>19</v>
      </c>
      <c r="B16" s="84">
        <v>950</v>
      </c>
      <c r="C16" s="85">
        <f t="shared" ref="C16:C17" si="2">+B16*12</f>
        <v>11400</v>
      </c>
      <c r="D16" s="85">
        <f>+C16*G10</f>
        <v>136800</v>
      </c>
      <c r="E16" s="86">
        <f>+(842+939+894+931+1018+856+873+968+975+1018+856+873)/12</f>
        <v>920.25</v>
      </c>
      <c r="F16" s="87">
        <f>+B16/E16</f>
        <v>1.0323281716924748</v>
      </c>
    </row>
    <row r="17" spans="1:11" x14ac:dyDescent="0.3">
      <c r="A17" s="76" t="s">
        <v>20</v>
      </c>
      <c r="B17" s="84">
        <v>1100</v>
      </c>
      <c r="C17" s="85">
        <f t="shared" si="2"/>
        <v>13200</v>
      </c>
      <c r="D17" s="85">
        <f>+C17*H10</f>
        <v>66000</v>
      </c>
      <c r="E17" s="86">
        <f>+(1524+1824+1757+1440+1294)/5</f>
        <v>1567.8</v>
      </c>
      <c r="F17" s="87">
        <f>+B17/E17</f>
        <v>0.70162010460517921</v>
      </c>
    </row>
    <row r="18" spans="1:11" s="3" customFormat="1" ht="15" thickBot="1" x14ac:dyDescent="0.35">
      <c r="A18" s="78" t="s">
        <v>23</v>
      </c>
      <c r="B18" s="88">
        <f>+SUM(B15:B17)</f>
        <v>2805</v>
      </c>
      <c r="C18" s="88">
        <f t="shared" ref="C18:D18" si="3">+SUM(C15:C17)</f>
        <v>33660</v>
      </c>
      <c r="D18" s="88">
        <f t="shared" si="3"/>
        <v>257160</v>
      </c>
      <c r="E18" s="79"/>
      <c r="F18" s="83"/>
    </row>
    <row r="19" spans="1:11" ht="15" thickBot="1" x14ac:dyDescent="0.35"/>
    <row r="20" spans="1:11" x14ac:dyDescent="0.3">
      <c r="A20" s="89" t="s">
        <v>118</v>
      </c>
      <c r="B20" s="90"/>
      <c r="C20" s="90"/>
      <c r="D20" s="91">
        <f>+D18</f>
        <v>257160</v>
      </c>
    </row>
    <row r="21" spans="1:11" x14ac:dyDescent="0.3">
      <c r="A21" s="76" t="s">
        <v>119</v>
      </c>
      <c r="C21" s="92">
        <v>7.0000000000000007E-2</v>
      </c>
      <c r="D21" s="93">
        <f>-C21*D20</f>
        <v>-18001.2</v>
      </c>
    </row>
    <row r="22" spans="1:11" ht="15" thickBot="1" x14ac:dyDescent="0.35">
      <c r="A22" s="78" t="s">
        <v>120</v>
      </c>
      <c r="B22" s="94"/>
      <c r="C22" s="95"/>
      <c r="D22" s="96">
        <f>+D21+D20</f>
        <v>239158.8</v>
      </c>
    </row>
    <row r="23" spans="1:11" x14ac:dyDescent="0.3">
      <c r="A23" s="3"/>
      <c r="B23" s="18"/>
      <c r="C23" s="2"/>
      <c r="D23" s="5"/>
    </row>
    <row r="24" spans="1:11" x14ac:dyDescent="0.3">
      <c r="A24" s="3" t="s">
        <v>114</v>
      </c>
      <c r="B24" s="2"/>
      <c r="C24" s="2"/>
      <c r="D24" s="2"/>
    </row>
    <row r="25" spans="1:11" x14ac:dyDescent="0.3">
      <c r="A25" s="47" t="s">
        <v>219</v>
      </c>
      <c r="B25" s="48"/>
      <c r="C25" s="49"/>
      <c r="D25" s="50"/>
      <c r="E25" s="51"/>
      <c r="F25" s="51"/>
      <c r="G25" s="51"/>
      <c r="H25" s="51"/>
      <c r="I25" s="51"/>
      <c r="J25" s="51"/>
      <c r="K25" s="51"/>
    </row>
    <row r="26" spans="1:11" x14ac:dyDescent="0.3">
      <c r="A26" s="47"/>
      <c r="B26" s="52"/>
      <c r="C26" s="148" t="s">
        <v>208</v>
      </c>
      <c r="D26" s="149"/>
      <c r="E26" s="149"/>
      <c r="F26" s="149"/>
      <c r="G26" s="149"/>
      <c r="H26" s="149"/>
      <c r="I26" s="150"/>
      <c r="J26" s="49"/>
      <c r="K26" s="49"/>
    </row>
    <row r="27" spans="1:11" x14ac:dyDescent="0.3">
      <c r="A27" s="47"/>
      <c r="B27" s="52"/>
      <c r="C27" s="53" t="s">
        <v>209</v>
      </c>
      <c r="D27" s="54" t="s">
        <v>210</v>
      </c>
      <c r="E27" s="54" t="s">
        <v>211</v>
      </c>
      <c r="F27" s="54" t="s">
        <v>212</v>
      </c>
      <c r="G27" s="54" t="s">
        <v>213</v>
      </c>
      <c r="H27" s="54" t="s">
        <v>214</v>
      </c>
      <c r="I27" s="54" t="s">
        <v>215</v>
      </c>
      <c r="J27" s="55"/>
      <c r="K27" s="55"/>
    </row>
    <row r="28" spans="1:11" ht="14.4" customHeight="1" x14ac:dyDescent="0.3">
      <c r="A28" s="145" t="s">
        <v>207</v>
      </c>
      <c r="B28" s="56">
        <v>0.3</v>
      </c>
      <c r="C28" s="57">
        <v>446</v>
      </c>
      <c r="D28" s="57">
        <v>478</v>
      </c>
      <c r="E28" s="58">
        <v>573</v>
      </c>
      <c r="F28" s="58">
        <v>663</v>
      </c>
      <c r="G28" s="58">
        <v>739</v>
      </c>
      <c r="H28" s="58">
        <v>816</v>
      </c>
      <c r="I28" s="58">
        <v>892</v>
      </c>
      <c r="J28" s="51"/>
      <c r="K28" s="51"/>
    </row>
    <row r="29" spans="1:11" x14ac:dyDescent="0.3">
      <c r="A29" s="146"/>
      <c r="B29" s="56">
        <v>0.4</v>
      </c>
      <c r="C29" s="57">
        <v>595</v>
      </c>
      <c r="D29" s="57">
        <v>637</v>
      </c>
      <c r="E29" s="57">
        <v>765</v>
      </c>
      <c r="F29" s="57">
        <v>884</v>
      </c>
      <c r="G29" s="57">
        <v>986</v>
      </c>
      <c r="H29" s="57">
        <v>1088</v>
      </c>
      <c r="I29" s="57">
        <v>1190</v>
      </c>
      <c r="J29" s="51"/>
      <c r="K29" s="51"/>
    </row>
    <row r="30" spans="1:11" x14ac:dyDescent="0.3">
      <c r="A30" s="146"/>
      <c r="B30" s="56">
        <v>0.5</v>
      </c>
      <c r="C30" s="57">
        <v>743</v>
      </c>
      <c r="D30" s="57">
        <v>796</v>
      </c>
      <c r="E30" s="57">
        <v>956</v>
      </c>
      <c r="F30" s="57">
        <v>1105</v>
      </c>
      <c r="G30" s="57">
        <v>1232</v>
      </c>
      <c r="H30" s="57">
        <v>1360</v>
      </c>
      <c r="I30" s="57">
        <v>1487</v>
      </c>
      <c r="J30" s="51"/>
      <c r="K30" s="51"/>
    </row>
    <row r="31" spans="1:11" x14ac:dyDescent="0.3">
      <c r="A31" s="147"/>
      <c r="B31" s="56">
        <v>0.6</v>
      </c>
      <c r="C31" s="57">
        <v>892</v>
      </c>
      <c r="D31" s="57">
        <v>904</v>
      </c>
      <c r="E31" s="57">
        <v>1084</v>
      </c>
      <c r="F31" s="129">
        <v>1253</v>
      </c>
      <c r="G31" s="57">
        <v>1398</v>
      </c>
      <c r="H31" s="57">
        <v>1542</v>
      </c>
      <c r="I31" s="57">
        <v>1687</v>
      </c>
      <c r="J31" s="51"/>
      <c r="K31" s="51"/>
    </row>
    <row r="32" spans="1:11" x14ac:dyDescent="0.3">
      <c r="A32" s="47"/>
      <c r="B32" s="48"/>
      <c r="C32" s="148" t="s">
        <v>205</v>
      </c>
      <c r="D32" s="149"/>
      <c r="E32" s="149"/>
      <c r="F32" s="149"/>
      <c r="G32" s="149"/>
      <c r="H32" s="149"/>
      <c r="I32" s="149"/>
      <c r="J32" s="149"/>
      <c r="K32" s="150"/>
    </row>
    <row r="33" spans="1:12" x14ac:dyDescent="0.3">
      <c r="A33" s="47"/>
      <c r="B33" s="48"/>
      <c r="C33" s="53" t="s">
        <v>206</v>
      </c>
      <c r="D33" s="54">
        <v>2</v>
      </c>
      <c r="E33" s="54">
        <v>3</v>
      </c>
      <c r="F33" s="54">
        <v>4</v>
      </c>
      <c r="G33" s="54">
        <v>5</v>
      </c>
      <c r="H33" s="54">
        <v>6</v>
      </c>
      <c r="I33" s="54">
        <v>7</v>
      </c>
      <c r="J33" s="54">
        <v>8</v>
      </c>
      <c r="K33" s="54">
        <v>9</v>
      </c>
    </row>
    <row r="34" spans="1:12" x14ac:dyDescent="0.3">
      <c r="A34" s="145" t="s">
        <v>207</v>
      </c>
      <c r="B34" s="56">
        <v>0.3</v>
      </c>
      <c r="C34" s="59">
        <v>17130</v>
      </c>
      <c r="D34" s="59">
        <v>20400</v>
      </c>
      <c r="E34" s="59">
        <v>22950</v>
      </c>
      <c r="F34" s="59">
        <v>25500</v>
      </c>
      <c r="G34" s="59">
        <v>27540</v>
      </c>
      <c r="H34" s="59">
        <v>29580</v>
      </c>
      <c r="I34" s="59">
        <v>31620</v>
      </c>
      <c r="J34" s="59">
        <v>33660</v>
      </c>
      <c r="K34" s="59">
        <v>35700</v>
      </c>
    </row>
    <row r="35" spans="1:12" x14ac:dyDescent="0.3">
      <c r="A35" s="146"/>
      <c r="B35" s="56">
        <v>0.4</v>
      </c>
      <c r="C35" s="59">
        <v>23800</v>
      </c>
      <c r="D35" s="59">
        <v>27200</v>
      </c>
      <c r="E35" s="59">
        <v>30600</v>
      </c>
      <c r="F35" s="59">
        <v>34000</v>
      </c>
      <c r="G35" s="59">
        <v>36720</v>
      </c>
      <c r="H35" s="59">
        <v>39440</v>
      </c>
      <c r="I35" s="59">
        <v>42160</v>
      </c>
      <c r="J35" s="59">
        <v>44880</v>
      </c>
      <c r="K35" s="59">
        <v>47600</v>
      </c>
    </row>
    <row r="36" spans="1:12" x14ac:dyDescent="0.3">
      <c r="A36" s="146"/>
      <c r="B36" s="56">
        <v>0.5</v>
      </c>
      <c r="C36" s="59">
        <v>29750</v>
      </c>
      <c r="D36" s="59">
        <v>34000</v>
      </c>
      <c r="E36" s="59">
        <v>38250</v>
      </c>
      <c r="F36" s="59">
        <v>42500</v>
      </c>
      <c r="G36" s="59">
        <v>45900</v>
      </c>
      <c r="H36" s="59">
        <v>49300</v>
      </c>
      <c r="I36" s="59">
        <v>52700</v>
      </c>
      <c r="J36" s="59">
        <v>56100</v>
      </c>
      <c r="K36" s="59">
        <v>59500</v>
      </c>
    </row>
    <row r="37" spans="1:12" x14ac:dyDescent="0.3">
      <c r="A37" s="147"/>
      <c r="B37" s="56">
        <v>0.6</v>
      </c>
      <c r="C37" s="59">
        <v>35700</v>
      </c>
      <c r="D37" s="59">
        <v>40800</v>
      </c>
      <c r="E37" s="59">
        <v>45900</v>
      </c>
      <c r="F37" s="130">
        <v>51000</v>
      </c>
      <c r="G37" s="59">
        <v>55080</v>
      </c>
      <c r="H37" s="59">
        <v>59160</v>
      </c>
      <c r="I37" s="59">
        <v>63240</v>
      </c>
      <c r="J37" s="59">
        <v>67320</v>
      </c>
      <c r="K37" s="59">
        <v>71400</v>
      </c>
    </row>
    <row r="38" spans="1:12" x14ac:dyDescent="0.3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t="s">
        <v>240</v>
      </c>
    </row>
    <row r="39" spans="1:12" ht="15" thickBot="1" x14ac:dyDescent="0.35">
      <c r="A39" s="3" t="s">
        <v>16</v>
      </c>
    </row>
    <row r="40" spans="1:12" x14ac:dyDescent="0.3">
      <c r="A40" s="89" t="s">
        <v>25</v>
      </c>
      <c r="B40" s="74"/>
      <c r="C40" s="97">
        <v>6000</v>
      </c>
      <c r="D40" s="74" t="s">
        <v>22</v>
      </c>
      <c r="E40" s="74" t="s">
        <v>27</v>
      </c>
      <c r="F40" s="75"/>
    </row>
    <row r="41" spans="1:12" x14ac:dyDescent="0.3">
      <c r="A41" s="76" t="s">
        <v>26</v>
      </c>
      <c r="C41" s="84">
        <v>300</v>
      </c>
      <c r="D41" t="s">
        <v>22</v>
      </c>
      <c r="F41" s="77"/>
    </row>
    <row r="42" spans="1:12" x14ac:dyDescent="0.3">
      <c r="A42" s="76" t="s">
        <v>28</v>
      </c>
      <c r="C42" s="8">
        <f>+C41+C40</f>
        <v>6300</v>
      </c>
      <c r="D42" t="s">
        <v>22</v>
      </c>
      <c r="F42" s="77"/>
    </row>
    <row r="43" spans="1:12" x14ac:dyDescent="0.3">
      <c r="A43" s="98" t="s">
        <v>29</v>
      </c>
      <c r="B43" s="3"/>
      <c r="D43" s="99">
        <f>+C42*I10</f>
        <v>144900</v>
      </c>
      <c r="F43" s="77"/>
    </row>
    <row r="44" spans="1:12" ht="15" thickBot="1" x14ac:dyDescent="0.35">
      <c r="A44" s="78" t="s">
        <v>30</v>
      </c>
      <c r="B44" s="100"/>
      <c r="C44" s="100"/>
      <c r="D44" s="101">
        <f>+D22-D43</f>
        <v>94258.799999999988</v>
      </c>
      <c r="E44" s="100"/>
      <c r="F44" s="102"/>
    </row>
    <row r="45" spans="1:12" ht="15" thickBot="1" x14ac:dyDescent="0.35">
      <c r="A45" s="3"/>
      <c r="D45" s="9"/>
    </row>
    <row r="46" spans="1:12" x14ac:dyDescent="0.3">
      <c r="A46" s="73" t="s">
        <v>220</v>
      </c>
      <c r="B46" s="74"/>
      <c r="C46" s="74"/>
      <c r="D46" s="103"/>
      <c r="E46" s="74"/>
      <c r="F46" s="74"/>
      <c r="G46" s="110" t="s">
        <v>237</v>
      </c>
    </row>
    <row r="47" spans="1:12" x14ac:dyDescent="0.3">
      <c r="A47" s="76" t="s">
        <v>222</v>
      </c>
      <c r="D47" s="85">
        <f>510*12</f>
        <v>6120</v>
      </c>
      <c r="E47" s="11" t="s">
        <v>221</v>
      </c>
      <c r="F47" s="85">
        <f>585*12</f>
        <v>7020</v>
      </c>
      <c r="G47" s="104">
        <f>(+D47+F47)/2</f>
        <v>6570</v>
      </c>
    </row>
    <row r="48" spans="1:12" x14ac:dyDescent="0.3">
      <c r="A48" s="76" t="s">
        <v>223</v>
      </c>
      <c r="D48" s="8">
        <f>395*12</f>
        <v>4740</v>
      </c>
      <c r="E48" s="11" t="s">
        <v>221</v>
      </c>
      <c r="F48" s="85">
        <f>485*12</f>
        <v>5820</v>
      </c>
      <c r="G48" s="104">
        <f t="shared" ref="G48:G49" si="4">(+D48+F48)/2</f>
        <v>5280</v>
      </c>
    </row>
    <row r="49" spans="1:7" ht="15" thickBot="1" x14ac:dyDescent="0.35">
      <c r="A49" s="105" t="s">
        <v>224</v>
      </c>
      <c r="B49" s="100"/>
      <c r="C49" s="100"/>
      <c r="D49" s="106">
        <f>12*475</f>
        <v>5700</v>
      </c>
      <c r="E49" s="107" t="s">
        <v>221</v>
      </c>
      <c r="F49" s="108">
        <f>12*575</f>
        <v>6900</v>
      </c>
      <c r="G49" s="109">
        <f t="shared" si="4"/>
        <v>6300</v>
      </c>
    </row>
    <row r="50" spans="1:7" ht="15" thickBot="1" x14ac:dyDescent="0.35">
      <c r="A50" s="3"/>
      <c r="D50" s="9"/>
    </row>
    <row r="51" spans="1:7" x14ac:dyDescent="0.3">
      <c r="A51" s="73" t="s">
        <v>225</v>
      </c>
      <c r="B51" s="74"/>
      <c r="C51" s="74"/>
      <c r="D51" s="103"/>
      <c r="E51" s="75"/>
    </row>
    <row r="52" spans="1:7" x14ac:dyDescent="0.3">
      <c r="A52" s="76" t="s">
        <v>226</v>
      </c>
      <c r="D52" s="85">
        <v>400</v>
      </c>
      <c r="E52" s="111"/>
      <c r="F52" s="6"/>
    </row>
    <row r="53" spans="1:7" x14ac:dyDescent="0.3">
      <c r="A53" s="76" t="s">
        <v>227</v>
      </c>
      <c r="D53" s="8">
        <v>300</v>
      </c>
      <c r="E53" s="111"/>
      <c r="F53" s="6"/>
    </row>
    <row r="54" spans="1:7" ht="15" thickBot="1" x14ac:dyDescent="0.35">
      <c r="A54" s="105" t="s">
        <v>228</v>
      </c>
      <c r="B54" s="100"/>
      <c r="C54" s="100"/>
      <c r="D54" s="106">
        <v>300</v>
      </c>
      <c r="E54" s="112"/>
      <c r="F54" s="6"/>
    </row>
    <row r="55" spans="1:7" x14ac:dyDescent="0.3">
      <c r="A55" s="3"/>
      <c r="D55" s="9"/>
    </row>
    <row r="56" spans="1:7" x14ac:dyDescent="0.3">
      <c r="A56" s="3"/>
      <c r="D56" s="9"/>
    </row>
    <row r="57" spans="1:7" ht="15" thickBot="1" x14ac:dyDescent="0.35"/>
    <row r="58" spans="1:7" x14ac:dyDescent="0.3">
      <c r="A58" s="89" t="s">
        <v>31</v>
      </c>
      <c r="B58" s="74"/>
      <c r="C58" s="74"/>
      <c r="D58" s="113">
        <v>1.2</v>
      </c>
      <c r="E58" s="74"/>
      <c r="F58" s="74"/>
      <c r="G58" s="75"/>
    </row>
    <row r="59" spans="1:7" x14ac:dyDescent="0.3">
      <c r="A59" s="98" t="s">
        <v>34</v>
      </c>
      <c r="B59" s="3"/>
      <c r="C59" s="3"/>
      <c r="D59" s="99">
        <f>+D44/D58</f>
        <v>78549</v>
      </c>
      <c r="E59" t="s">
        <v>32</v>
      </c>
      <c r="G59" s="77"/>
    </row>
    <row r="60" spans="1:7" x14ac:dyDescent="0.3">
      <c r="A60" s="98" t="s">
        <v>34</v>
      </c>
      <c r="D60" s="99">
        <f>+D59/12</f>
        <v>6545.75</v>
      </c>
      <c r="E60" t="s">
        <v>33</v>
      </c>
      <c r="G60" s="77"/>
    </row>
    <row r="61" spans="1:7" x14ac:dyDescent="0.3">
      <c r="A61" s="76"/>
      <c r="G61" s="77"/>
    </row>
    <row r="62" spans="1:7" x14ac:dyDescent="0.3">
      <c r="A62" s="76" t="s">
        <v>35</v>
      </c>
      <c r="D62" s="92">
        <v>6.6500000000000004E-2</v>
      </c>
      <c r="E62" t="s">
        <v>32</v>
      </c>
      <c r="F62" s="114">
        <f>+D62/12</f>
        <v>5.541666666666667E-3</v>
      </c>
      <c r="G62" s="77" t="s">
        <v>33</v>
      </c>
    </row>
    <row r="63" spans="1:7" x14ac:dyDescent="0.3">
      <c r="A63" s="76" t="s">
        <v>36</v>
      </c>
      <c r="D63" s="60">
        <v>30</v>
      </c>
      <c r="E63" t="s">
        <v>38</v>
      </c>
      <c r="F63">
        <f>+D63*12</f>
        <v>360</v>
      </c>
      <c r="G63" s="77" t="s">
        <v>39</v>
      </c>
    </row>
    <row r="64" spans="1:7" ht="15" thickBot="1" x14ac:dyDescent="0.35">
      <c r="A64" s="78" t="s">
        <v>37</v>
      </c>
      <c r="B64" s="79"/>
      <c r="C64" s="79"/>
      <c r="D64" s="152">
        <f>PV(+F62,+F63,-D60)</f>
        <v>1019643.0186493946</v>
      </c>
      <c r="E64" s="152"/>
      <c r="F64" s="100"/>
      <c r="G64" s="102"/>
    </row>
    <row r="65" spans="1:12" x14ac:dyDescent="0.3">
      <c r="A65" s="3"/>
      <c r="B65" s="3"/>
      <c r="C65" s="3"/>
      <c r="D65" s="22"/>
      <c r="E65" s="22"/>
    </row>
    <row r="66" spans="1:12" x14ac:dyDescent="0.3">
      <c r="A66" t="s">
        <v>56</v>
      </c>
      <c r="D66" s="60">
        <v>11</v>
      </c>
    </row>
    <row r="67" spans="1:12" x14ac:dyDescent="0.3">
      <c r="A67" t="s">
        <v>57</v>
      </c>
      <c r="D67" s="60">
        <v>5</v>
      </c>
    </row>
    <row r="68" spans="1:12" x14ac:dyDescent="0.3">
      <c r="A68" t="s">
        <v>164</v>
      </c>
      <c r="C68" s="46">
        <v>0.05</v>
      </c>
      <c r="E68" s="42"/>
    </row>
    <row r="69" spans="1:12" x14ac:dyDescent="0.3">
      <c r="A69" s="3"/>
      <c r="B69" s="3"/>
      <c r="C69" s="3"/>
      <c r="D69" s="22"/>
      <c r="E69" s="22"/>
      <c r="L69" t="s">
        <v>241</v>
      </c>
    </row>
    <row r="70" spans="1:12" x14ac:dyDescent="0.3">
      <c r="H70" s="14" t="s">
        <v>82</v>
      </c>
      <c r="J70" s="14" t="s">
        <v>72</v>
      </c>
    </row>
    <row r="71" spans="1:12" x14ac:dyDescent="0.3">
      <c r="A71" s="3" t="s">
        <v>41</v>
      </c>
      <c r="H71" s="14" t="s">
        <v>81</v>
      </c>
      <c r="J71" s="14" t="s">
        <v>73</v>
      </c>
    </row>
    <row r="72" spans="1:12" x14ac:dyDescent="0.3">
      <c r="A72" t="s">
        <v>42</v>
      </c>
      <c r="C72" s="144">
        <v>225000</v>
      </c>
      <c r="D72" s="144"/>
      <c r="H72" s="15"/>
      <c r="J72" s="15"/>
    </row>
    <row r="73" spans="1:12" x14ac:dyDescent="0.3">
      <c r="A73" t="s">
        <v>43</v>
      </c>
      <c r="C73" s="144">
        <v>25000</v>
      </c>
      <c r="D73" s="144"/>
      <c r="H73" s="15"/>
      <c r="J73" s="8">
        <f>+C73</f>
        <v>25000</v>
      </c>
    </row>
    <row r="74" spans="1:12" x14ac:dyDescent="0.3">
      <c r="A74" t="s">
        <v>44</v>
      </c>
      <c r="C74" s="136">
        <f>+E74*C12</f>
        <v>4894950</v>
      </c>
      <c r="D74" s="136"/>
      <c r="E74" s="61">
        <v>150</v>
      </c>
      <c r="F74" t="s">
        <v>45</v>
      </c>
      <c r="H74" s="63">
        <f>+J74-(I10*4000)</f>
        <v>4802950</v>
      </c>
      <c r="J74" s="8">
        <f>+C74</f>
        <v>4894950</v>
      </c>
    </row>
    <row r="75" spans="1:12" x14ac:dyDescent="0.3">
      <c r="A75" t="s">
        <v>46</v>
      </c>
      <c r="C75" s="136">
        <f>+C74*E75</f>
        <v>244747.5</v>
      </c>
      <c r="D75" s="136"/>
      <c r="E75" s="62">
        <v>0.05</v>
      </c>
      <c r="H75" s="8">
        <f>+J75</f>
        <v>244747.5</v>
      </c>
      <c r="J75" s="8">
        <f t="shared" ref="J75:J87" si="5">+C75</f>
        <v>244747.5</v>
      </c>
    </row>
    <row r="76" spans="1:12" x14ac:dyDescent="0.3">
      <c r="A76" t="s">
        <v>47</v>
      </c>
      <c r="C76" s="136">
        <f>+C74*E76</f>
        <v>97899</v>
      </c>
      <c r="D76" s="136"/>
      <c r="E76" s="62">
        <v>0.02</v>
      </c>
      <c r="H76" s="8">
        <f>+J76</f>
        <v>97899</v>
      </c>
      <c r="J76" s="8">
        <f t="shared" si="5"/>
        <v>97899</v>
      </c>
    </row>
    <row r="77" spans="1:12" x14ac:dyDescent="0.3">
      <c r="A77" t="s">
        <v>48</v>
      </c>
      <c r="C77" s="136">
        <f>+C74*E77</f>
        <v>244747.5</v>
      </c>
      <c r="D77" s="136"/>
      <c r="E77" s="62">
        <v>0.05</v>
      </c>
      <c r="H77" s="8">
        <f>+J77</f>
        <v>244747.5</v>
      </c>
      <c r="J77" s="8">
        <f t="shared" si="5"/>
        <v>244747.5</v>
      </c>
    </row>
    <row r="78" spans="1:12" x14ac:dyDescent="0.3">
      <c r="A78" t="s">
        <v>49</v>
      </c>
      <c r="C78" s="136">
        <f>+SUM(C73:D77)*E78</f>
        <v>550734.4</v>
      </c>
      <c r="D78" s="136"/>
      <c r="E78" s="62">
        <v>0.1</v>
      </c>
      <c r="H78" s="8">
        <f>+J78</f>
        <v>550734.4</v>
      </c>
      <c r="J78" s="8">
        <f t="shared" si="5"/>
        <v>550734.4</v>
      </c>
    </row>
    <row r="79" spans="1:12" x14ac:dyDescent="0.3">
      <c r="A79" t="s">
        <v>50</v>
      </c>
      <c r="C79" s="136"/>
      <c r="D79" s="136"/>
      <c r="E79" s="142">
        <f>+SUM(C73:D79)</f>
        <v>6058078.4000000004</v>
      </c>
      <c r="F79" s="143"/>
      <c r="H79" s="8"/>
      <c r="J79" s="8"/>
    </row>
    <row r="80" spans="1:12" x14ac:dyDescent="0.3">
      <c r="A80" t="s">
        <v>51</v>
      </c>
      <c r="C80" s="136">
        <f>+E79*E80</f>
        <v>302903.92000000004</v>
      </c>
      <c r="D80" s="136"/>
      <c r="E80" s="62">
        <v>0.05</v>
      </c>
      <c r="F80" s="11"/>
      <c r="H80" s="8">
        <f t="shared" ref="H80:H90" si="6">+J80</f>
        <v>302903.92000000004</v>
      </c>
      <c r="J80" s="8">
        <f t="shared" si="5"/>
        <v>302903.92000000004</v>
      </c>
    </row>
    <row r="81" spans="1:10" x14ac:dyDescent="0.3">
      <c r="A81" t="s">
        <v>52</v>
      </c>
      <c r="C81" s="144">
        <v>50000</v>
      </c>
      <c r="D81" s="144"/>
      <c r="E81" s="13" t="s">
        <v>53</v>
      </c>
      <c r="F81" s="11"/>
      <c r="H81" s="8">
        <f t="shared" si="6"/>
        <v>50000</v>
      </c>
      <c r="J81" s="8">
        <f t="shared" si="5"/>
        <v>50000</v>
      </c>
    </row>
    <row r="82" spans="1:10" x14ac:dyDescent="0.3">
      <c r="A82" t="s">
        <v>63</v>
      </c>
      <c r="C82" s="144">
        <v>5000</v>
      </c>
      <c r="D82" s="144"/>
      <c r="E82" s="13"/>
      <c r="F82" s="11"/>
      <c r="H82" s="8">
        <f t="shared" si="6"/>
        <v>5000</v>
      </c>
      <c r="J82" s="8">
        <f t="shared" si="5"/>
        <v>5000</v>
      </c>
    </row>
    <row r="83" spans="1:10" x14ac:dyDescent="0.3">
      <c r="A83" t="s">
        <v>64</v>
      </c>
      <c r="C83" s="144">
        <v>6500</v>
      </c>
      <c r="D83" s="144"/>
      <c r="E83" s="13"/>
      <c r="F83" s="11"/>
      <c r="H83" s="8">
        <f t="shared" si="6"/>
        <v>6500</v>
      </c>
      <c r="J83" s="8">
        <f t="shared" si="5"/>
        <v>6500</v>
      </c>
    </row>
    <row r="84" spans="1:10" x14ac:dyDescent="0.3">
      <c r="A84" t="s">
        <v>65</v>
      </c>
      <c r="C84" s="144">
        <v>10000</v>
      </c>
      <c r="D84" s="144"/>
      <c r="E84" s="13"/>
      <c r="F84" s="11"/>
      <c r="H84" s="8">
        <f t="shared" si="6"/>
        <v>10000</v>
      </c>
      <c r="J84" s="8">
        <f t="shared" si="5"/>
        <v>10000</v>
      </c>
    </row>
    <row r="85" spans="1:10" x14ac:dyDescent="0.3">
      <c r="A85" t="s">
        <v>66</v>
      </c>
      <c r="C85" s="144">
        <v>5500</v>
      </c>
      <c r="D85" s="144"/>
      <c r="E85" s="13"/>
      <c r="F85" s="11"/>
      <c r="H85" s="8">
        <f t="shared" si="6"/>
        <v>5500</v>
      </c>
      <c r="J85" s="8">
        <f t="shared" si="5"/>
        <v>5500</v>
      </c>
    </row>
    <row r="86" spans="1:10" x14ac:dyDescent="0.3">
      <c r="A86" t="s">
        <v>67</v>
      </c>
      <c r="C86" s="144">
        <v>75000</v>
      </c>
      <c r="D86" s="144"/>
      <c r="E86" s="13"/>
      <c r="F86" s="11"/>
      <c r="H86" s="8">
        <f t="shared" si="6"/>
        <v>75000</v>
      </c>
      <c r="J86" s="8">
        <f t="shared" si="5"/>
        <v>75000</v>
      </c>
    </row>
    <row r="87" spans="1:10" x14ac:dyDescent="0.3">
      <c r="A87" t="s">
        <v>68</v>
      </c>
      <c r="C87" s="144">
        <v>20000</v>
      </c>
      <c r="D87" s="144"/>
      <c r="E87" s="13"/>
      <c r="F87" s="11"/>
      <c r="H87" s="8">
        <f t="shared" si="6"/>
        <v>20000</v>
      </c>
      <c r="J87" s="8">
        <f t="shared" si="5"/>
        <v>20000</v>
      </c>
    </row>
    <row r="88" spans="1:10" x14ac:dyDescent="0.3">
      <c r="A88" t="s">
        <v>54</v>
      </c>
      <c r="C88" s="136">
        <f>+(+E88/12)*(D66+D67)</f>
        <v>20000</v>
      </c>
      <c r="D88" s="136"/>
      <c r="E88" s="43">
        <v>15000</v>
      </c>
      <c r="F88" t="s">
        <v>55</v>
      </c>
      <c r="G88" s="13"/>
      <c r="H88" s="8">
        <f t="shared" si="6"/>
        <v>13750</v>
      </c>
      <c r="I88" s="13"/>
      <c r="J88" s="16">
        <f>+(+E88/12)*D66</f>
        <v>13750</v>
      </c>
    </row>
    <row r="89" spans="1:10" x14ac:dyDescent="0.3">
      <c r="A89" t="s">
        <v>60</v>
      </c>
      <c r="C89" s="136">
        <f ca="1">+E89*D191</f>
        <v>63096.586341140144</v>
      </c>
      <c r="D89" s="136"/>
      <c r="E89" s="46">
        <v>0.01</v>
      </c>
      <c r="G89" s="13"/>
      <c r="H89" s="8">
        <f t="shared" ca="1" si="6"/>
        <v>63096.586341140144</v>
      </c>
      <c r="I89" s="13"/>
      <c r="J89" s="8">
        <f ca="1">+C89</f>
        <v>63096.586341140144</v>
      </c>
    </row>
    <row r="90" spans="1:10" x14ac:dyDescent="0.3">
      <c r="A90" t="s">
        <v>58</v>
      </c>
      <c r="C90" s="136">
        <f ca="1">+(((+D191*C68)/12)*D66)/2</f>
        <v>144596.34369844617</v>
      </c>
      <c r="D90" s="136"/>
      <c r="E90" s="13"/>
      <c r="F90" s="11"/>
      <c r="H90" s="8">
        <f t="shared" ca="1" si="6"/>
        <v>144596.34369844617</v>
      </c>
      <c r="J90" s="8">
        <f t="shared" ref="J90:J92" ca="1" si="7">+C90</f>
        <v>144596.34369844617</v>
      </c>
    </row>
    <row r="91" spans="1:10" x14ac:dyDescent="0.3">
      <c r="A91" t="s">
        <v>59</v>
      </c>
      <c r="C91" s="136">
        <f ca="1">+(((+D191*C68)/12)*D67)</f>
        <v>131451.22154404197</v>
      </c>
      <c r="D91" s="136"/>
      <c r="E91" s="12"/>
      <c r="F91" s="11"/>
      <c r="H91" s="15"/>
      <c r="J91" s="15"/>
    </row>
    <row r="92" spans="1:10" x14ac:dyDescent="0.3">
      <c r="A92" t="s">
        <v>61</v>
      </c>
      <c r="C92" s="136">
        <f>+E92*D66</f>
        <v>5500</v>
      </c>
      <c r="D92" s="136"/>
      <c r="E92" s="43">
        <v>500</v>
      </c>
      <c r="F92" t="s">
        <v>62</v>
      </c>
      <c r="H92" s="8">
        <f>+J92</f>
        <v>5500</v>
      </c>
      <c r="J92" s="8">
        <f t="shared" si="7"/>
        <v>5500</v>
      </c>
    </row>
    <row r="93" spans="1:10" x14ac:dyDescent="0.3">
      <c r="A93" t="s">
        <v>76</v>
      </c>
      <c r="C93" s="136">
        <f>+E93*D64</f>
        <v>10196.430186493946</v>
      </c>
      <c r="D93" s="136"/>
      <c r="E93" s="46">
        <v>0.01</v>
      </c>
      <c r="H93" s="15"/>
      <c r="J93" s="15"/>
    </row>
    <row r="94" spans="1:10" x14ac:dyDescent="0.3">
      <c r="A94" t="s">
        <v>69</v>
      </c>
      <c r="C94" s="144">
        <v>15000</v>
      </c>
      <c r="D94" s="144"/>
      <c r="H94" s="8">
        <f>+J94</f>
        <v>13500</v>
      </c>
      <c r="J94" s="8">
        <f>+C94*0.9</f>
        <v>13500</v>
      </c>
    </row>
    <row r="95" spans="1:10" x14ac:dyDescent="0.3">
      <c r="A95" t="s">
        <v>70</v>
      </c>
      <c r="C95" s="151">
        <f>IF(+E119&gt;0,40000,0)</f>
        <v>40000</v>
      </c>
      <c r="D95" s="151"/>
      <c r="H95" s="15"/>
      <c r="J95" s="15"/>
    </row>
    <row r="96" spans="1:10" x14ac:dyDescent="0.3">
      <c r="A96" t="s">
        <v>71</v>
      </c>
      <c r="C96" s="151">
        <f>IF(+E119&gt;0,5000,0)</f>
        <v>5000</v>
      </c>
      <c r="D96" s="151"/>
      <c r="H96" s="15"/>
      <c r="J96" s="15"/>
    </row>
    <row r="97" spans="1:12" x14ac:dyDescent="0.3">
      <c r="A97" t="s">
        <v>74</v>
      </c>
      <c r="C97" s="151">
        <f>IF(+E119&gt;0,2000,0)</f>
        <v>2000</v>
      </c>
      <c r="D97" s="151"/>
      <c r="H97" s="15"/>
      <c r="J97" s="15"/>
    </row>
    <row r="98" spans="1:12" x14ac:dyDescent="0.3">
      <c r="A98" t="s">
        <v>75</v>
      </c>
      <c r="C98" s="151">
        <f ca="1">IF(+E119&gt;0,+(+D132+E132+F132)*0.1,0)</f>
        <v>44588.332530242275</v>
      </c>
      <c r="D98" s="151"/>
      <c r="H98" s="15"/>
      <c r="J98" s="15"/>
    </row>
    <row r="99" spans="1:12" x14ac:dyDescent="0.3">
      <c r="A99" t="s">
        <v>77</v>
      </c>
      <c r="C99" s="144">
        <v>5000</v>
      </c>
      <c r="D99" s="144"/>
      <c r="H99" s="15"/>
      <c r="J99" s="15"/>
    </row>
    <row r="100" spans="1:12" x14ac:dyDescent="0.3">
      <c r="A100" t="s">
        <v>78</v>
      </c>
      <c r="C100" s="140">
        <f>+C101*0.5</f>
        <v>19637.25</v>
      </c>
      <c r="D100" s="140"/>
      <c r="H100" s="15"/>
      <c r="J100" s="15"/>
    </row>
    <row r="101" spans="1:12" x14ac:dyDescent="0.3">
      <c r="A101" t="s">
        <v>79</v>
      </c>
      <c r="C101" s="140">
        <f>+(+D59/12)*E101</f>
        <v>39274.5</v>
      </c>
      <c r="D101" s="140"/>
      <c r="E101" s="60">
        <v>6</v>
      </c>
      <c r="F101" t="s">
        <v>84</v>
      </c>
      <c r="H101" s="15"/>
      <c r="J101" s="15"/>
    </row>
    <row r="102" spans="1:12" x14ac:dyDescent="0.3">
      <c r="A102" t="s">
        <v>80</v>
      </c>
      <c r="C102" s="141">
        <f>+E102*I10</f>
        <v>483000</v>
      </c>
      <c r="D102" s="141"/>
      <c r="E102" s="43">
        <v>21000</v>
      </c>
      <c r="F102" t="s">
        <v>83</v>
      </c>
      <c r="H102" s="8">
        <f>+J102</f>
        <v>483000</v>
      </c>
      <c r="J102" s="8">
        <f>+C102</f>
        <v>483000</v>
      </c>
    </row>
    <row r="103" spans="1:12" ht="10.65" customHeight="1" x14ac:dyDescent="0.3">
      <c r="C103" s="143"/>
      <c r="D103" s="143"/>
    </row>
    <row r="104" spans="1:12" x14ac:dyDescent="0.3">
      <c r="A104" t="s">
        <v>85</v>
      </c>
      <c r="C104" s="142">
        <f ca="1">+SUM(C72:D103)</f>
        <v>7786322.9843003657</v>
      </c>
      <c r="D104" s="143"/>
      <c r="H104" s="1">
        <f ca="1">+SUM(H72:H103)</f>
        <v>7139425.2500395868</v>
      </c>
      <c r="J104" s="1">
        <f ca="1">+SUM(J72:J103)</f>
        <v>7256425.2500395868</v>
      </c>
    </row>
    <row r="105" spans="1:12" ht="15" thickBot="1" x14ac:dyDescent="0.35">
      <c r="L105" t="s">
        <v>242</v>
      </c>
    </row>
    <row r="106" spans="1:12" x14ac:dyDescent="0.3">
      <c r="A106" s="73" t="s">
        <v>87</v>
      </c>
      <c r="B106" s="74"/>
      <c r="C106" s="74"/>
      <c r="D106" s="74"/>
      <c r="E106" s="74"/>
      <c r="F106" s="74"/>
      <c r="G106" s="74"/>
      <c r="H106" s="74"/>
      <c r="I106" s="74"/>
      <c r="J106" s="75"/>
    </row>
    <row r="107" spans="1:12" x14ac:dyDescent="0.3">
      <c r="A107" s="76" t="s">
        <v>186</v>
      </c>
      <c r="E107" s="60" t="s">
        <v>238</v>
      </c>
      <c r="F107" s="115">
        <f>IF(+E107="yes",0.2,0)</f>
        <v>0.2</v>
      </c>
      <c r="G107" t="s">
        <v>165</v>
      </c>
      <c r="H107" s="115"/>
      <c r="J107" s="77"/>
    </row>
    <row r="108" spans="1:12" x14ac:dyDescent="0.3">
      <c r="A108" s="76" t="s">
        <v>187</v>
      </c>
      <c r="E108" s="60" t="s">
        <v>238</v>
      </c>
      <c r="F108" s="115">
        <f>IF(+E108="yes",0.2,0)</f>
        <v>0.2</v>
      </c>
      <c r="G108" t="s">
        <v>166</v>
      </c>
      <c r="H108" s="115"/>
      <c r="J108" s="77"/>
    </row>
    <row r="109" spans="1:12" x14ac:dyDescent="0.3">
      <c r="A109" s="98"/>
      <c r="D109" s="3" t="s">
        <v>89</v>
      </c>
      <c r="E109" s="3" t="s">
        <v>90</v>
      </c>
      <c r="F109" s="139" t="s">
        <v>95</v>
      </c>
      <c r="G109" s="139"/>
      <c r="J109" s="77"/>
    </row>
    <row r="110" spans="1:12" x14ac:dyDescent="0.3">
      <c r="A110" s="76" t="s">
        <v>88</v>
      </c>
      <c r="D110" s="2">
        <f ca="1">+H104</f>
        <v>7139425.2500395868</v>
      </c>
      <c r="E110" s="2">
        <f ca="1">+H104</f>
        <v>7139425.2500395868</v>
      </c>
      <c r="J110" s="77"/>
    </row>
    <row r="111" spans="1:12" x14ac:dyDescent="0.3">
      <c r="A111" s="76" t="s">
        <v>188</v>
      </c>
      <c r="B111" s="116"/>
      <c r="D111" s="117">
        <f ca="1">+D110*F108</f>
        <v>1427885.0500079175</v>
      </c>
      <c r="E111" s="117">
        <f ca="1">+E110*F107</f>
        <v>1427885.0500079175</v>
      </c>
      <c r="J111" s="77"/>
    </row>
    <row r="112" spans="1:12" x14ac:dyDescent="0.3">
      <c r="A112" s="76" t="s">
        <v>93</v>
      </c>
      <c r="B112" s="116"/>
      <c r="D112" s="118">
        <v>1</v>
      </c>
      <c r="E112" s="92">
        <v>0.99990000000000001</v>
      </c>
      <c r="J112" s="77"/>
    </row>
    <row r="113" spans="1:10" x14ac:dyDescent="0.3">
      <c r="A113" s="76" t="s">
        <v>94</v>
      </c>
      <c r="B113" s="116"/>
      <c r="D113" s="117">
        <f ca="1">+D111*D112</f>
        <v>1427885.0500079175</v>
      </c>
      <c r="E113" s="117">
        <f ca="1">+E112*E111</f>
        <v>1427742.2615029167</v>
      </c>
      <c r="J113" s="77"/>
    </row>
    <row r="114" spans="1:10" x14ac:dyDescent="0.3">
      <c r="A114" s="76" t="s">
        <v>91</v>
      </c>
      <c r="D114" s="119">
        <v>0.7</v>
      </c>
      <c r="E114" s="119">
        <v>0.85</v>
      </c>
      <c r="J114" s="77"/>
    </row>
    <row r="115" spans="1:10" s="3" customFormat="1" ht="15" thickBot="1" x14ac:dyDescent="0.35">
      <c r="A115" s="78" t="s">
        <v>92</v>
      </c>
      <c r="B115" s="79"/>
      <c r="C115" s="79"/>
      <c r="D115" s="88">
        <f ca="1">+D113*D114</f>
        <v>999519.5350055421</v>
      </c>
      <c r="E115" s="88">
        <f ca="1">+E114*E113</f>
        <v>1213580.9222774792</v>
      </c>
      <c r="F115" s="137">
        <f ca="1">+E115+D115</f>
        <v>2213100.4572830214</v>
      </c>
      <c r="G115" s="138"/>
      <c r="H115" s="120">
        <f ca="1">+F115/C104</f>
        <v>0.28422921342273061</v>
      </c>
      <c r="I115" s="100" t="s">
        <v>96</v>
      </c>
      <c r="J115" s="102"/>
    </row>
    <row r="117" spans="1:10" x14ac:dyDescent="0.3">
      <c r="A117" s="3" t="s">
        <v>110</v>
      </c>
    </row>
    <row r="118" spans="1:10" x14ac:dyDescent="0.3">
      <c r="A118" t="s">
        <v>192</v>
      </c>
      <c r="D118" s="27"/>
      <c r="E118" s="60" t="s">
        <v>113</v>
      </c>
      <c r="F118" s="10">
        <f>IF(+E118="yes",0.04,0)</f>
        <v>0</v>
      </c>
    </row>
    <row r="119" spans="1:10" x14ac:dyDescent="0.3">
      <c r="A119" t="s">
        <v>194</v>
      </c>
      <c r="D119" s="27"/>
      <c r="E119" s="71">
        <v>0.09</v>
      </c>
      <c r="F119" s="10"/>
      <c r="G119" t="s">
        <v>108</v>
      </c>
    </row>
    <row r="120" spans="1:10" x14ac:dyDescent="0.3">
      <c r="A120" t="s">
        <v>193</v>
      </c>
      <c r="D120" s="27"/>
      <c r="E120" s="60" t="s">
        <v>113</v>
      </c>
      <c r="F120" s="10">
        <f>IF(+E120="yes",0.04,0)</f>
        <v>0</v>
      </c>
      <c r="G120" t="s">
        <v>196</v>
      </c>
    </row>
    <row r="121" spans="1:10" x14ac:dyDescent="0.3">
      <c r="A121" s="3"/>
      <c r="D121" s="27"/>
      <c r="E121" s="27"/>
      <c r="F121" s="27"/>
    </row>
    <row r="122" spans="1:10" x14ac:dyDescent="0.3">
      <c r="A122" s="3"/>
      <c r="D122" s="4" t="s">
        <v>189</v>
      </c>
      <c r="E122" s="4" t="s">
        <v>190</v>
      </c>
      <c r="F122" s="4" t="s">
        <v>191</v>
      </c>
    </row>
    <row r="123" spans="1:10" x14ac:dyDescent="0.3">
      <c r="A123" t="s">
        <v>86</v>
      </c>
      <c r="D123" s="2">
        <f ca="1">+J104</f>
        <v>7256425.2500395868</v>
      </c>
      <c r="E123" s="2">
        <f ca="1">+D123</f>
        <v>7256425.2500395868</v>
      </c>
      <c r="F123" s="8">
        <f>+C72</f>
        <v>225000</v>
      </c>
    </row>
    <row r="124" spans="1:10" x14ac:dyDescent="0.3">
      <c r="A124" t="s">
        <v>97</v>
      </c>
      <c r="D124" s="2"/>
      <c r="E124" s="2">
        <f ca="1">-E111</f>
        <v>-1427885.0500079175</v>
      </c>
    </row>
    <row r="125" spans="1:10" x14ac:dyDescent="0.3">
      <c r="A125" t="s">
        <v>103</v>
      </c>
      <c r="C125" s="51"/>
      <c r="D125" s="21"/>
      <c r="E125" s="28"/>
      <c r="G125" t="s">
        <v>104</v>
      </c>
    </row>
    <row r="126" spans="1:10" x14ac:dyDescent="0.3">
      <c r="A126" t="s">
        <v>98</v>
      </c>
      <c r="D126" s="2">
        <f ca="1">+D124+D123+D125</f>
        <v>7256425.2500395868</v>
      </c>
      <c r="E126" s="2">
        <f ca="1">+E124+E123+E125</f>
        <v>5828540.2000316698</v>
      </c>
      <c r="F126" s="2">
        <f>+F124+F123+F125</f>
        <v>225000</v>
      </c>
    </row>
    <row r="127" spans="1:10" x14ac:dyDescent="0.3">
      <c r="A127" t="s">
        <v>99</v>
      </c>
      <c r="C127" s="62">
        <v>1</v>
      </c>
      <c r="D127" s="1">
        <f ca="1">+D126*C127</f>
        <v>7256425.2500395868</v>
      </c>
      <c r="E127" s="1">
        <f ca="1">+E126*C127</f>
        <v>5828540.2000316698</v>
      </c>
      <c r="F127" s="1">
        <f>+F126*C127</f>
        <v>225000</v>
      </c>
      <c r="G127" t="s">
        <v>100</v>
      </c>
    </row>
    <row r="128" spans="1:10" x14ac:dyDescent="0.3">
      <c r="A128" t="s">
        <v>101</v>
      </c>
      <c r="C128" s="62">
        <v>0</v>
      </c>
      <c r="D128" s="1">
        <f ca="1">+D127*C128</f>
        <v>0</v>
      </c>
      <c r="E128" s="1">
        <f ca="1">+E127*C128</f>
        <v>0</v>
      </c>
      <c r="F128" s="1">
        <f>+F127*C128</f>
        <v>0</v>
      </c>
      <c r="G128" t="s">
        <v>218</v>
      </c>
    </row>
    <row r="129" spans="1:12" x14ac:dyDescent="0.3">
      <c r="A129" t="s">
        <v>102</v>
      </c>
      <c r="D129" s="2">
        <f ca="1">+D128+D127</f>
        <v>7256425.2500395868</v>
      </c>
      <c r="E129" s="2">
        <f t="shared" ref="E129:F129" ca="1" si="8">+E128+E127</f>
        <v>5828540.2000316698</v>
      </c>
      <c r="F129" s="2">
        <f t="shared" si="8"/>
        <v>225000</v>
      </c>
    </row>
    <row r="130" spans="1:12" x14ac:dyDescent="0.3">
      <c r="A130" t="s">
        <v>105</v>
      </c>
      <c r="C130" s="62">
        <v>0.85</v>
      </c>
      <c r="D130" s="1">
        <f ca="1">+D129*C130</f>
        <v>6167961.4625336491</v>
      </c>
      <c r="E130" s="1">
        <f ca="1">+E129*C130</f>
        <v>4954259.1700269189</v>
      </c>
      <c r="F130" s="1">
        <f>+F129*C130</f>
        <v>191250</v>
      </c>
      <c r="G130" t="s">
        <v>106</v>
      </c>
    </row>
    <row r="131" spans="1:12" x14ac:dyDescent="0.3">
      <c r="A131" t="s">
        <v>107</v>
      </c>
      <c r="C131" s="17"/>
      <c r="D131" s="23">
        <f>+F120</f>
        <v>0</v>
      </c>
      <c r="E131" s="23">
        <f>+E119</f>
        <v>0.09</v>
      </c>
      <c r="F131" s="23">
        <f>+F118</f>
        <v>0</v>
      </c>
    </row>
    <row r="132" spans="1:12" x14ac:dyDescent="0.3">
      <c r="A132" t="s">
        <v>109</v>
      </c>
      <c r="D132" s="2">
        <f ca="1">+D130*D131</f>
        <v>0</v>
      </c>
      <c r="E132" s="1">
        <f ca="1">+E130*E131</f>
        <v>445883.32530242269</v>
      </c>
      <c r="F132">
        <f>+F130*F131</f>
        <v>0</v>
      </c>
    </row>
    <row r="133" spans="1:12" x14ac:dyDescent="0.3">
      <c r="A133" t="s">
        <v>195</v>
      </c>
      <c r="D133" s="1">
        <f ca="1">+D132*6</f>
        <v>0</v>
      </c>
      <c r="E133" s="1">
        <f ca="1">+E132*10</f>
        <v>4458833.253024227</v>
      </c>
      <c r="F133">
        <f>+F132*10</f>
        <v>0</v>
      </c>
    </row>
    <row r="134" spans="1:12" x14ac:dyDescent="0.3">
      <c r="A134" t="s">
        <v>111</v>
      </c>
      <c r="D134" s="61">
        <v>0.67</v>
      </c>
      <c r="E134" s="61">
        <v>0.9</v>
      </c>
      <c r="F134" s="29">
        <f>+E134</f>
        <v>0.9</v>
      </c>
    </row>
    <row r="135" spans="1:12" s="3" customFormat="1" x14ac:dyDescent="0.3">
      <c r="A135" s="3" t="s">
        <v>112</v>
      </c>
      <c r="D135" s="7">
        <f ca="1">+D134*D133</f>
        <v>0</v>
      </c>
      <c r="E135" s="7">
        <f t="shared" ref="E135:F135" ca="1" si="9">+E134*E133</f>
        <v>4012949.9277218045</v>
      </c>
      <c r="F135" s="7">
        <f t="shared" si="9"/>
        <v>0</v>
      </c>
    </row>
    <row r="136" spans="1:12" x14ac:dyDescent="0.3">
      <c r="L136" t="s">
        <v>243</v>
      </c>
    </row>
    <row r="137" spans="1:12" x14ac:dyDescent="0.3">
      <c r="A137" s="3" t="s">
        <v>117</v>
      </c>
    </row>
    <row r="138" spans="1:12" x14ac:dyDescent="0.3">
      <c r="A138" t="s">
        <v>122</v>
      </c>
      <c r="D138" s="8">
        <f>D43</f>
        <v>144900</v>
      </c>
    </row>
    <row r="139" spans="1:12" x14ac:dyDescent="0.3">
      <c r="A139" t="s">
        <v>123</v>
      </c>
      <c r="D139" s="20">
        <f ca="1">+D149</f>
        <v>33758.115942856952</v>
      </c>
    </row>
    <row r="140" spans="1:12" x14ac:dyDescent="0.3">
      <c r="A140" t="s">
        <v>124</v>
      </c>
      <c r="D140" s="8">
        <f ca="1">+D138-D139</f>
        <v>111141.88405714305</v>
      </c>
    </row>
    <row r="142" spans="1:12" x14ac:dyDescent="0.3">
      <c r="A142" t="s">
        <v>120</v>
      </c>
      <c r="D142" s="8">
        <f>+D22</f>
        <v>239158.8</v>
      </c>
      <c r="E142" t="s">
        <v>121</v>
      </c>
    </row>
    <row r="143" spans="1:12" x14ac:dyDescent="0.3">
      <c r="A143" t="s">
        <v>125</v>
      </c>
      <c r="D143" s="8">
        <f ca="1">+D142-D140</f>
        <v>128016.91594285694</v>
      </c>
    </row>
    <row r="145" spans="1:5" x14ac:dyDescent="0.3">
      <c r="A145" t="s">
        <v>126</v>
      </c>
      <c r="C145" s="64">
        <v>7.0000000000000007E-2</v>
      </c>
    </row>
    <row r="146" spans="1:5" x14ac:dyDescent="0.3">
      <c r="A146" t="s">
        <v>127</v>
      </c>
      <c r="C146" s="64">
        <v>2.5069999999999999E-2</v>
      </c>
    </row>
    <row r="147" spans="1:5" x14ac:dyDescent="0.3">
      <c r="A147" s="3" t="s">
        <v>128</v>
      </c>
      <c r="B147" s="3"/>
      <c r="C147" s="19">
        <f>+C146+C145</f>
        <v>9.5070000000000002E-2</v>
      </c>
    </row>
    <row r="148" spans="1:5" x14ac:dyDescent="0.3">
      <c r="A148" t="s">
        <v>129</v>
      </c>
      <c r="D148" s="6">
        <f ca="1">+D143/C147</f>
        <v>1346554.2857142836</v>
      </c>
    </row>
    <row r="149" spans="1:5" x14ac:dyDescent="0.3">
      <c r="A149" s="3" t="s">
        <v>130</v>
      </c>
      <c r="B149" s="3"/>
      <c r="C149" s="3"/>
      <c r="D149" s="7">
        <f ca="1">+D148*C146</f>
        <v>33758.11594285709</v>
      </c>
    </row>
    <row r="151" spans="1:5" x14ac:dyDescent="0.3">
      <c r="A151" t="s">
        <v>131</v>
      </c>
      <c r="D151" s="6">
        <f>+C72*C146</f>
        <v>5640.75</v>
      </c>
      <c r="E151" t="s">
        <v>132</v>
      </c>
    </row>
    <row r="152" spans="1:5" x14ac:dyDescent="0.3">
      <c r="A152" t="s">
        <v>133</v>
      </c>
      <c r="D152" s="43">
        <v>0</v>
      </c>
    </row>
    <row r="153" spans="1:5" x14ac:dyDescent="0.3">
      <c r="A153" t="s">
        <v>134</v>
      </c>
      <c r="D153" s="8">
        <f ca="1">+D149-D151-D152</f>
        <v>28117.36594285709</v>
      </c>
    </row>
    <row r="155" spans="1:5" x14ac:dyDescent="0.3">
      <c r="A155" t="s">
        <v>135</v>
      </c>
      <c r="D155" s="65">
        <v>25</v>
      </c>
      <c r="E155" t="s">
        <v>136</v>
      </c>
    </row>
    <row r="156" spans="1:5" x14ac:dyDescent="0.3">
      <c r="A156" t="s">
        <v>137</v>
      </c>
      <c r="D156" s="62">
        <v>0.85</v>
      </c>
      <c r="E156" t="s">
        <v>138</v>
      </c>
    </row>
    <row r="157" spans="1:5" x14ac:dyDescent="0.3">
      <c r="A157" t="s">
        <v>141</v>
      </c>
      <c r="D157" s="66">
        <v>1</v>
      </c>
      <c r="E157" t="s">
        <v>144</v>
      </c>
    </row>
    <row r="158" spans="1:5" x14ac:dyDescent="0.3">
      <c r="A158" t="s">
        <v>143</v>
      </c>
      <c r="D158" s="67">
        <f ca="1">+(+D153*D156)/D157</f>
        <v>23899.761051428526</v>
      </c>
    </row>
    <row r="159" spans="1:5" x14ac:dyDescent="0.3">
      <c r="A159" t="s">
        <v>139</v>
      </c>
      <c r="D159" s="46">
        <v>7.0000000000000007E-2</v>
      </c>
    </row>
    <row r="160" spans="1:5" x14ac:dyDescent="0.3">
      <c r="A160" t="s">
        <v>140</v>
      </c>
      <c r="D160" s="20">
        <f>+D155</f>
        <v>25</v>
      </c>
      <c r="E160" t="s">
        <v>142</v>
      </c>
    </row>
    <row r="161" spans="1:12" x14ac:dyDescent="0.3">
      <c r="A161" s="3" t="s">
        <v>145</v>
      </c>
      <c r="B161" s="3"/>
      <c r="C161" s="3"/>
      <c r="D161" s="7">
        <f ca="1">PV(+D159/12,+D160*12,-D158/12)</f>
        <v>281791.93190239387</v>
      </c>
      <c r="E161" t="s">
        <v>146</v>
      </c>
    </row>
    <row r="163" spans="1:12" ht="15" thickBot="1" x14ac:dyDescent="0.35">
      <c r="L163" t="s">
        <v>244</v>
      </c>
    </row>
    <row r="164" spans="1:12" x14ac:dyDescent="0.3">
      <c r="A164" s="73" t="s">
        <v>147</v>
      </c>
      <c r="B164" s="74"/>
      <c r="C164" s="74"/>
      <c r="D164" s="74"/>
      <c r="E164" s="74"/>
      <c r="F164" s="74"/>
      <c r="G164" s="75"/>
    </row>
    <row r="165" spans="1:12" x14ac:dyDescent="0.3">
      <c r="A165" s="76" t="s">
        <v>148</v>
      </c>
      <c r="D165" s="119">
        <v>1</v>
      </c>
      <c r="G165" s="77"/>
    </row>
    <row r="166" spans="1:12" x14ac:dyDescent="0.3">
      <c r="A166" s="76" t="s">
        <v>149</v>
      </c>
      <c r="D166" s="125">
        <f>+D64</f>
        <v>1019643.0186493946</v>
      </c>
      <c r="G166" s="77"/>
    </row>
    <row r="167" spans="1:12" x14ac:dyDescent="0.3">
      <c r="A167" s="76" t="s">
        <v>197</v>
      </c>
      <c r="D167" s="8">
        <f>+F135</f>
        <v>0</v>
      </c>
      <c r="G167" s="77"/>
    </row>
    <row r="168" spans="1:12" x14ac:dyDescent="0.3">
      <c r="A168" s="76" t="s">
        <v>198</v>
      </c>
      <c r="C168" s="126">
        <f>+E119</f>
        <v>0.09</v>
      </c>
      <c r="D168" s="8">
        <f ca="1">+E135</f>
        <v>4012949.9277218045</v>
      </c>
      <c r="G168" s="77"/>
    </row>
    <row r="169" spans="1:12" x14ac:dyDescent="0.3">
      <c r="A169" s="76" t="s">
        <v>199</v>
      </c>
      <c r="D169" s="8">
        <f ca="1">+D135</f>
        <v>0</v>
      </c>
      <c r="G169" s="77"/>
    </row>
    <row r="170" spans="1:12" x14ac:dyDescent="0.3">
      <c r="A170" s="76" t="s">
        <v>150</v>
      </c>
      <c r="D170" s="8">
        <f ca="1">+E115</f>
        <v>1213580.9222774792</v>
      </c>
      <c r="G170" s="77"/>
    </row>
    <row r="171" spans="1:12" x14ac:dyDescent="0.3">
      <c r="A171" s="76" t="s">
        <v>151</v>
      </c>
      <c r="D171" s="8">
        <f ca="1">+D115</f>
        <v>999519.5350055421</v>
      </c>
      <c r="G171" s="77"/>
    </row>
    <row r="172" spans="1:12" x14ac:dyDescent="0.3">
      <c r="A172" s="76" t="s">
        <v>152</v>
      </c>
      <c r="D172" s="127">
        <f ca="1">IF(+D178&lt;0,D161,0)</f>
        <v>281791.93190239387</v>
      </c>
      <c r="E172" s="117">
        <f ca="1">+D161</f>
        <v>281791.93190239387</v>
      </c>
      <c r="F172" t="s">
        <v>200</v>
      </c>
      <c r="G172" s="77"/>
    </row>
    <row r="173" spans="1:12" x14ac:dyDescent="0.3">
      <c r="A173" s="76" t="s">
        <v>153</v>
      </c>
      <c r="D173" s="84">
        <v>0</v>
      </c>
      <c r="G173" s="77"/>
    </row>
    <row r="174" spans="1:12" x14ac:dyDescent="0.3">
      <c r="A174" s="76" t="s">
        <v>184</v>
      </c>
      <c r="D174" s="84">
        <v>0</v>
      </c>
      <c r="E174" s="24">
        <f ca="1">+Forecast!S21</f>
        <v>227189.21539794051</v>
      </c>
      <c r="F174" t="s">
        <v>185</v>
      </c>
      <c r="G174" s="77"/>
    </row>
    <row r="175" spans="1:12" ht="7.5" customHeight="1" x14ac:dyDescent="0.3">
      <c r="A175" s="76"/>
      <c r="D175" s="128"/>
      <c r="G175" s="77"/>
    </row>
    <row r="176" spans="1:12" x14ac:dyDescent="0.3">
      <c r="A176" s="98" t="s">
        <v>154</v>
      </c>
      <c r="B176" s="3"/>
      <c r="C176" s="3"/>
      <c r="D176" s="99">
        <f ca="1">+SUM(D165:D175)</f>
        <v>7527486.3355566151</v>
      </c>
      <c r="G176" s="77"/>
    </row>
    <row r="177" spans="1:7" x14ac:dyDescent="0.3">
      <c r="A177" s="76" t="s">
        <v>85</v>
      </c>
      <c r="D177" s="8">
        <f ca="1">+C104</f>
        <v>7786322.9843003657</v>
      </c>
      <c r="G177" s="77"/>
    </row>
    <row r="178" spans="1:7" ht="15" thickBot="1" x14ac:dyDescent="0.35">
      <c r="A178" s="105" t="s">
        <v>115</v>
      </c>
      <c r="B178" s="100"/>
      <c r="C178" s="100"/>
      <c r="D178" s="106">
        <f ca="1">+D176-D177</f>
        <v>-258836.64874375053</v>
      </c>
      <c r="E178" s="100"/>
      <c r="F178" s="100"/>
      <c r="G178" s="102"/>
    </row>
    <row r="180" spans="1:7" ht="15" thickBot="1" x14ac:dyDescent="0.35"/>
    <row r="181" spans="1:7" x14ac:dyDescent="0.3">
      <c r="A181" s="73" t="s">
        <v>155</v>
      </c>
      <c r="B181" s="74"/>
      <c r="C181" s="74"/>
      <c r="D181" s="75"/>
    </row>
    <row r="182" spans="1:7" x14ac:dyDescent="0.3">
      <c r="A182" s="76" t="s">
        <v>85</v>
      </c>
      <c r="D182" s="104">
        <f ca="1">+C104</f>
        <v>7786322.9843003657</v>
      </c>
    </row>
    <row r="183" spans="1:7" x14ac:dyDescent="0.3">
      <c r="A183" s="121">
        <v>1</v>
      </c>
      <c r="B183" t="s">
        <v>156</v>
      </c>
      <c r="D183" s="104">
        <f>-A183*(C100+C101)</f>
        <v>-58911.75</v>
      </c>
    </row>
    <row r="184" spans="1:7" x14ac:dyDescent="0.3">
      <c r="A184" s="121">
        <v>0.75</v>
      </c>
      <c r="B184" t="s">
        <v>157</v>
      </c>
      <c r="D184" s="104">
        <f>-A184*C102</f>
        <v>-362250</v>
      </c>
    </row>
    <row r="185" spans="1:7" x14ac:dyDescent="0.3">
      <c r="A185" s="121">
        <v>1</v>
      </c>
      <c r="B185" t="s">
        <v>158</v>
      </c>
      <c r="D185" s="122">
        <f>-A185*C93</f>
        <v>-10196.430186493946</v>
      </c>
    </row>
    <row r="186" spans="1:7" x14ac:dyDescent="0.3">
      <c r="A186" s="121">
        <v>0.2</v>
      </c>
      <c r="B186" t="s">
        <v>159</v>
      </c>
      <c r="D186" s="104">
        <f ca="1">-A186*SUM(D167:D169)</f>
        <v>-802589.98554436094</v>
      </c>
    </row>
    <row r="187" spans="1:7" x14ac:dyDescent="0.3">
      <c r="A187" s="121">
        <v>0.2</v>
      </c>
      <c r="B187" t="s">
        <v>160</v>
      </c>
      <c r="D187" s="104">
        <f ca="1">-A187*D170</f>
        <v>-242716.18445549585</v>
      </c>
    </row>
    <row r="188" spans="1:7" x14ac:dyDescent="0.3">
      <c r="A188" s="121">
        <v>0</v>
      </c>
      <c r="B188" t="s">
        <v>161</v>
      </c>
      <c r="D188" s="104">
        <f ca="1">-A188*D171</f>
        <v>0</v>
      </c>
    </row>
    <row r="189" spans="1:7" x14ac:dyDescent="0.3">
      <c r="A189" s="121">
        <v>0</v>
      </c>
      <c r="B189" t="s">
        <v>162</v>
      </c>
      <c r="D189" s="104">
        <f ca="1">+A189*D172</f>
        <v>0</v>
      </c>
    </row>
    <row r="190" spans="1:7" ht="6" customHeight="1" x14ac:dyDescent="0.3">
      <c r="A190" s="123"/>
      <c r="D190" s="77"/>
    </row>
    <row r="191" spans="1:7" ht="15" thickBot="1" x14ac:dyDescent="0.35">
      <c r="A191" s="78" t="s">
        <v>163</v>
      </c>
      <c r="B191" s="79"/>
      <c r="C191" s="79"/>
      <c r="D191" s="124">
        <f ca="1">+SUM(D182:D190)</f>
        <v>6309658.634114014</v>
      </c>
    </row>
    <row r="193" spans="12:12" x14ac:dyDescent="0.3">
      <c r="L193" t="s">
        <v>245</v>
      </c>
    </row>
  </sheetData>
  <mergeCells count="41">
    <mergeCell ref="C26:I26"/>
    <mergeCell ref="C87:D87"/>
    <mergeCell ref="C82:D82"/>
    <mergeCell ref="C83:D83"/>
    <mergeCell ref="C84:D84"/>
    <mergeCell ref="C85:D85"/>
    <mergeCell ref="C86:D86"/>
    <mergeCell ref="C76:D76"/>
    <mergeCell ref="C77:D77"/>
    <mergeCell ref="C78:D78"/>
    <mergeCell ref="D64:E64"/>
    <mergeCell ref="C72:D72"/>
    <mergeCell ref="C73:D73"/>
    <mergeCell ref="C99:D99"/>
    <mergeCell ref="C92:D92"/>
    <mergeCell ref="A34:A37"/>
    <mergeCell ref="C32:K32"/>
    <mergeCell ref="A28:A31"/>
    <mergeCell ref="E79:F79"/>
    <mergeCell ref="C80:D80"/>
    <mergeCell ref="C90:D90"/>
    <mergeCell ref="C93:D93"/>
    <mergeCell ref="C94:D94"/>
    <mergeCell ref="C95:D95"/>
    <mergeCell ref="C96:D96"/>
    <mergeCell ref="C97:D97"/>
    <mergeCell ref="C98:D98"/>
    <mergeCell ref="C81:D81"/>
    <mergeCell ref="C88:D88"/>
    <mergeCell ref="F115:G115"/>
    <mergeCell ref="F109:G109"/>
    <mergeCell ref="C100:D100"/>
    <mergeCell ref="C101:D101"/>
    <mergeCell ref="C102:D102"/>
    <mergeCell ref="C104:D104"/>
    <mergeCell ref="C103:D103"/>
    <mergeCell ref="C91:D91"/>
    <mergeCell ref="C89:D89"/>
    <mergeCell ref="C74:D74"/>
    <mergeCell ref="C75:D75"/>
    <mergeCell ref="C79:D79"/>
  </mergeCells>
  <dataValidations count="3">
    <dataValidation type="list" allowBlank="1" showInputMessage="1" showErrorMessage="1" sqref="E107:E108 E118 E120" xr:uid="{1052B80F-C644-4973-8688-6F206134599D}">
      <formula1>"yes, no"</formula1>
    </dataValidation>
    <dataValidation type="list" allowBlank="1" showInputMessage="1" showErrorMessage="1" sqref="E119" xr:uid="{0B3806C9-95DC-4896-8A77-FE9984CDB1A1}">
      <formula1>"0,.04,.09"</formula1>
    </dataValidation>
    <dataValidation type="list" allowBlank="1" showInputMessage="1" showErrorMessage="1" sqref="C128" xr:uid="{66E6216F-4376-4BCF-B4BB-95BDEE2D01FD}">
      <formula1>"0,.10,.15,.2,.25,.30"</formula1>
    </dataValidation>
  </dataValidations>
  <pageMargins left="0.7" right="0.7" top="0.75" bottom="0.75" header="0.3" footer="0.3"/>
  <pageSetup scale="89" fitToHeight="0" orientation="landscape" horizontalDpi="0" verticalDpi="0" r:id="rId1"/>
  <rowBreaks count="5" manualBreakCount="5">
    <brk id="38" max="16383" man="1"/>
    <brk id="69" max="16383" man="1"/>
    <brk id="105" max="16383" man="1"/>
    <brk id="136" max="16383" man="1"/>
    <brk id="1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85A90-E65D-4488-AA6E-5F4AF4523918}">
  <sheetPr>
    <pageSetUpPr fitToPage="1"/>
  </sheetPr>
  <dimension ref="A1:S28"/>
  <sheetViews>
    <sheetView workbookViewId="0">
      <selection activeCell="J22" sqref="J22"/>
    </sheetView>
  </sheetViews>
  <sheetFormatPr defaultRowHeight="14.4" x14ac:dyDescent="0.3"/>
  <cols>
    <col min="3" max="4" width="10.88671875" bestFit="1" customWidth="1"/>
    <col min="5" max="18" width="9.44140625" customWidth="1"/>
  </cols>
  <sheetData>
    <row r="1" spans="1:18" x14ac:dyDescent="0.3">
      <c r="A1" s="3" t="s">
        <v>167</v>
      </c>
    </row>
    <row r="2" spans="1:18" x14ac:dyDescent="0.3">
      <c r="A2" t="s">
        <v>168</v>
      </c>
      <c r="C2" s="62">
        <v>0.02</v>
      </c>
    </row>
    <row r="3" spans="1:18" x14ac:dyDescent="0.3">
      <c r="A3" t="s">
        <v>169</v>
      </c>
      <c r="C3" s="62">
        <v>0.03</v>
      </c>
    </row>
    <row r="4" spans="1:18" x14ac:dyDescent="0.3"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M4">
        <v>10</v>
      </c>
      <c r="N4">
        <v>11</v>
      </c>
      <c r="O4">
        <v>12</v>
      </c>
      <c r="P4">
        <v>13</v>
      </c>
      <c r="Q4">
        <v>14</v>
      </c>
      <c r="R4">
        <v>15</v>
      </c>
    </row>
    <row r="5" spans="1:18" x14ac:dyDescent="0.3">
      <c r="A5" t="s">
        <v>170</v>
      </c>
      <c r="D5" s="1">
        <f>+Basics!D20</f>
        <v>257160</v>
      </c>
      <c r="E5" s="1">
        <f>+D5+(+D5*$C$2)</f>
        <v>262303.2</v>
      </c>
      <c r="F5" s="1">
        <f t="shared" ref="F5:R5" si="0">+E5+(+E5*$C$2)</f>
        <v>267549.26400000002</v>
      </c>
      <c r="G5" s="1">
        <f t="shared" si="0"/>
        <v>272900.24928000005</v>
      </c>
      <c r="H5" s="1">
        <f t="shared" si="0"/>
        <v>278358.25426560006</v>
      </c>
      <c r="I5" s="1">
        <f t="shared" si="0"/>
        <v>283925.41935091204</v>
      </c>
      <c r="J5" s="1">
        <f t="shared" si="0"/>
        <v>289603.92773793027</v>
      </c>
      <c r="K5" s="1">
        <f t="shared" si="0"/>
        <v>295396.00629268889</v>
      </c>
      <c r="L5" s="1">
        <f t="shared" si="0"/>
        <v>301303.92641854269</v>
      </c>
      <c r="M5" s="1">
        <f t="shared" si="0"/>
        <v>307330.00494691357</v>
      </c>
      <c r="N5" s="1">
        <f t="shared" si="0"/>
        <v>313476.60504585184</v>
      </c>
      <c r="O5" s="1">
        <f t="shared" si="0"/>
        <v>319746.13714676886</v>
      </c>
      <c r="P5" s="1">
        <f t="shared" si="0"/>
        <v>326141.05988970422</v>
      </c>
      <c r="Q5" s="1">
        <f t="shared" si="0"/>
        <v>332663.88108749833</v>
      </c>
      <c r="R5" s="1">
        <f t="shared" si="0"/>
        <v>339317.1587092483</v>
      </c>
    </row>
    <row r="6" spans="1:18" x14ac:dyDescent="0.3">
      <c r="A6" t="s">
        <v>119</v>
      </c>
      <c r="C6" s="25">
        <f>+Basics!C21</f>
        <v>7.0000000000000007E-2</v>
      </c>
      <c r="D6" s="1">
        <f>+D5*-C6</f>
        <v>-18001.2</v>
      </c>
      <c r="E6" s="1">
        <f>+E5*-$C$6</f>
        <v>-18361.224000000002</v>
      </c>
      <c r="F6" s="1">
        <f t="shared" ref="F6:R6" si="1">+F5*-$C$6</f>
        <v>-18728.448480000003</v>
      </c>
      <c r="G6" s="1">
        <f t="shared" si="1"/>
        <v>-19103.017449600004</v>
      </c>
      <c r="H6" s="1">
        <f t="shared" si="1"/>
        <v>-19485.077798592007</v>
      </c>
      <c r="I6" s="1">
        <f t="shared" si="1"/>
        <v>-19874.779354563845</v>
      </c>
      <c r="J6" s="1">
        <f t="shared" si="1"/>
        <v>-20272.27494165512</v>
      </c>
      <c r="K6" s="1">
        <f t="shared" si="1"/>
        <v>-20677.720440488225</v>
      </c>
      <c r="L6" s="1">
        <f t="shared" si="1"/>
        <v>-21091.274849297992</v>
      </c>
      <c r="M6" s="1">
        <f t="shared" si="1"/>
        <v>-21513.100346283951</v>
      </c>
      <c r="N6" s="1">
        <f t="shared" si="1"/>
        <v>-21943.362353209632</v>
      </c>
      <c r="O6" s="1">
        <f t="shared" si="1"/>
        <v>-22382.229600273822</v>
      </c>
      <c r="P6" s="1">
        <f t="shared" si="1"/>
        <v>-22829.874192279298</v>
      </c>
      <c r="Q6" s="1">
        <f t="shared" si="1"/>
        <v>-23286.471676124886</v>
      </c>
      <c r="R6" s="1">
        <f t="shared" si="1"/>
        <v>-23752.201109647383</v>
      </c>
    </row>
    <row r="7" spans="1:18" x14ac:dyDescent="0.3">
      <c r="A7" t="s">
        <v>171</v>
      </c>
      <c r="D7" s="1">
        <f>+D5+D6</f>
        <v>239158.8</v>
      </c>
      <c r="E7" s="1">
        <f t="shared" ref="E7:R7" si="2">+E5+E6</f>
        <v>243941.97600000002</v>
      </c>
      <c r="F7" s="1">
        <f t="shared" si="2"/>
        <v>248820.81552000003</v>
      </c>
      <c r="G7" s="1">
        <f t="shared" si="2"/>
        <v>253797.23183040004</v>
      </c>
      <c r="H7" s="1">
        <f t="shared" si="2"/>
        <v>258873.17646700804</v>
      </c>
      <c r="I7" s="1">
        <f t="shared" si="2"/>
        <v>264050.63999634818</v>
      </c>
      <c r="J7" s="1">
        <f t="shared" si="2"/>
        <v>269331.65279627516</v>
      </c>
      <c r="K7" s="1">
        <f t="shared" si="2"/>
        <v>274718.28585220064</v>
      </c>
      <c r="L7" s="1">
        <f t="shared" si="2"/>
        <v>280212.65156924468</v>
      </c>
      <c r="M7" s="1">
        <f t="shared" si="2"/>
        <v>285816.90460062964</v>
      </c>
      <c r="N7" s="1">
        <f t="shared" si="2"/>
        <v>291533.2426926422</v>
      </c>
      <c r="O7" s="1">
        <f t="shared" si="2"/>
        <v>297363.90754649503</v>
      </c>
      <c r="P7" s="1">
        <f t="shared" si="2"/>
        <v>303311.18569742492</v>
      </c>
      <c r="Q7" s="1">
        <f t="shared" si="2"/>
        <v>309377.40941137343</v>
      </c>
      <c r="R7" s="1">
        <f t="shared" si="2"/>
        <v>315564.95759960089</v>
      </c>
    </row>
    <row r="9" spans="1:18" x14ac:dyDescent="0.3">
      <c r="A9" t="s">
        <v>172</v>
      </c>
      <c r="D9" s="24">
        <f ca="1">+Basics!D43-Forecast!D10-Forecast!D11</f>
        <v>104241.88405714305</v>
      </c>
      <c r="E9" s="24">
        <f ca="1">+D9+(D9*$C$3)</f>
        <v>107369.14057885735</v>
      </c>
      <c r="F9" s="24">
        <f t="shared" ref="F9:R9" ca="1" si="3">+E9+(E9*$C$3)</f>
        <v>110590.21479622307</v>
      </c>
      <c r="G9" s="24">
        <f t="shared" ca="1" si="3"/>
        <v>113907.92124010976</v>
      </c>
      <c r="H9" s="24">
        <f t="shared" ca="1" si="3"/>
        <v>117325.15887731305</v>
      </c>
      <c r="I9" s="24">
        <f t="shared" ca="1" si="3"/>
        <v>120844.91364363245</v>
      </c>
      <c r="J9" s="24">
        <f t="shared" ca="1" si="3"/>
        <v>124470.26105294142</v>
      </c>
      <c r="K9" s="24">
        <f t="shared" ca="1" si="3"/>
        <v>128204.36888452967</v>
      </c>
      <c r="L9" s="24">
        <f t="shared" ca="1" si="3"/>
        <v>132050.49995106555</v>
      </c>
      <c r="M9" s="24">
        <f t="shared" ca="1" si="3"/>
        <v>136012.01494959751</v>
      </c>
      <c r="N9" s="24">
        <f t="shared" ca="1" si="3"/>
        <v>140092.37539808542</v>
      </c>
      <c r="O9" s="24">
        <f t="shared" ca="1" si="3"/>
        <v>144295.146660028</v>
      </c>
      <c r="P9" s="24">
        <f t="shared" ca="1" si="3"/>
        <v>148624.00105982885</v>
      </c>
      <c r="Q9" s="24">
        <f t="shared" ca="1" si="3"/>
        <v>153082.72109162371</v>
      </c>
      <c r="R9" s="24">
        <f t="shared" ca="1" si="3"/>
        <v>157675.20272437242</v>
      </c>
    </row>
    <row r="10" spans="1:18" x14ac:dyDescent="0.3">
      <c r="A10" t="s">
        <v>173</v>
      </c>
      <c r="D10" s="24">
        <f ca="1">+Basics!D149</f>
        <v>33758.11594285709</v>
      </c>
      <c r="E10" s="24">
        <f ca="1">+D10+(D10*$C$3)</f>
        <v>34770.859421142799</v>
      </c>
      <c r="F10" s="24">
        <f t="shared" ref="F10:R10" ca="1" si="4">+E10+(E10*$C$3)</f>
        <v>35813.985203777083</v>
      </c>
      <c r="G10" s="24">
        <f t="shared" ca="1" si="4"/>
        <v>36888.404759890393</v>
      </c>
      <c r="H10" s="24">
        <f t="shared" ca="1" si="4"/>
        <v>37995.056902687102</v>
      </c>
      <c r="I10" s="24">
        <f t="shared" ca="1" si="4"/>
        <v>39134.908609767714</v>
      </c>
      <c r="J10" s="24">
        <f t="shared" ca="1" si="4"/>
        <v>40308.955868060744</v>
      </c>
      <c r="K10" s="24">
        <f t="shared" ca="1" si="4"/>
        <v>41518.224544102566</v>
      </c>
      <c r="L10" s="24">
        <f t="shared" ca="1" si="4"/>
        <v>42763.771280425644</v>
      </c>
      <c r="M10" s="24">
        <f t="shared" ca="1" si="4"/>
        <v>44046.684418838413</v>
      </c>
      <c r="N10" s="24">
        <f t="shared" ca="1" si="4"/>
        <v>45368.084951403565</v>
      </c>
      <c r="O10" s="24">
        <f t="shared" ca="1" si="4"/>
        <v>46729.127499945673</v>
      </c>
      <c r="P10" s="24">
        <f t="shared" ca="1" si="4"/>
        <v>48131.001324944045</v>
      </c>
      <c r="Q10" s="24">
        <f t="shared" ca="1" si="4"/>
        <v>49574.931364692369</v>
      </c>
      <c r="R10" s="24">
        <f t="shared" ca="1" si="4"/>
        <v>51062.179305633137</v>
      </c>
    </row>
    <row r="11" spans="1:18" x14ac:dyDescent="0.3">
      <c r="A11" t="s">
        <v>174</v>
      </c>
      <c r="D11" s="24">
        <f>+Basics!C41*Basics!I10</f>
        <v>6900</v>
      </c>
      <c r="E11" s="24">
        <f>+D11+(D11*$C$3)</f>
        <v>7107</v>
      </c>
      <c r="F11" s="24">
        <f t="shared" ref="F11:R11" si="5">+E11+(E11*$C$3)</f>
        <v>7320.21</v>
      </c>
      <c r="G11" s="24">
        <f t="shared" si="5"/>
        <v>7539.8163000000004</v>
      </c>
      <c r="H11" s="24">
        <f t="shared" si="5"/>
        <v>7766.0107890000008</v>
      </c>
      <c r="I11" s="24">
        <f t="shared" si="5"/>
        <v>7998.9911126700008</v>
      </c>
      <c r="J11" s="24">
        <f t="shared" si="5"/>
        <v>8238.9608460501004</v>
      </c>
      <c r="K11" s="24">
        <f t="shared" si="5"/>
        <v>8486.1296714316031</v>
      </c>
      <c r="L11" s="24">
        <f t="shared" si="5"/>
        <v>8740.7135615745519</v>
      </c>
      <c r="M11" s="24">
        <f t="shared" si="5"/>
        <v>9002.9349684217887</v>
      </c>
      <c r="N11" s="24">
        <f t="shared" si="5"/>
        <v>9273.0230174744429</v>
      </c>
      <c r="O11" s="24">
        <f t="shared" si="5"/>
        <v>9551.2137079986769</v>
      </c>
      <c r="P11" s="24">
        <f t="shared" si="5"/>
        <v>9837.7501192386371</v>
      </c>
      <c r="Q11" s="24">
        <f t="shared" si="5"/>
        <v>10132.882622815796</v>
      </c>
      <c r="R11" s="24">
        <f t="shared" si="5"/>
        <v>10436.86910150027</v>
      </c>
    </row>
    <row r="12" spans="1:18" x14ac:dyDescent="0.3">
      <c r="A12" t="s">
        <v>175</v>
      </c>
      <c r="D12" s="24">
        <f ca="1">+SUM(D9:D11)</f>
        <v>144900.00000000015</v>
      </c>
      <c r="E12" s="24">
        <f t="shared" ref="E12:R12" ca="1" si="6">+SUM(E9:E11)</f>
        <v>149247.00000000015</v>
      </c>
      <c r="F12" s="24">
        <f t="shared" ca="1" si="6"/>
        <v>153724.41000000015</v>
      </c>
      <c r="G12" s="24">
        <f t="shared" ca="1" si="6"/>
        <v>158336.14230000015</v>
      </c>
      <c r="H12" s="24">
        <f t="shared" ca="1" si="6"/>
        <v>163086.22656900014</v>
      </c>
      <c r="I12" s="24">
        <f t="shared" ca="1" si="6"/>
        <v>167978.81336607016</v>
      </c>
      <c r="J12" s="24">
        <f t="shared" ca="1" si="6"/>
        <v>173018.17776705226</v>
      </c>
      <c r="K12" s="24">
        <f t="shared" ca="1" si="6"/>
        <v>178208.72310006386</v>
      </c>
      <c r="L12" s="24">
        <f t="shared" ca="1" si="6"/>
        <v>183554.98479306573</v>
      </c>
      <c r="M12" s="24">
        <f t="shared" ca="1" si="6"/>
        <v>189061.63433685771</v>
      </c>
      <c r="N12" s="24">
        <f t="shared" ca="1" si="6"/>
        <v>194733.48336696345</v>
      </c>
      <c r="O12" s="24">
        <f t="shared" ca="1" si="6"/>
        <v>200575.48786797235</v>
      </c>
      <c r="P12" s="24">
        <f t="shared" ca="1" si="6"/>
        <v>206592.75250401153</v>
      </c>
      <c r="Q12" s="24">
        <f t="shared" ca="1" si="6"/>
        <v>212790.53507913186</v>
      </c>
      <c r="R12" s="24">
        <f t="shared" ca="1" si="6"/>
        <v>219174.25113150582</v>
      </c>
    </row>
    <row r="14" spans="1:18" x14ac:dyDescent="0.3">
      <c r="A14" t="s">
        <v>176</v>
      </c>
      <c r="D14" s="24">
        <f ca="1">+D7-D12</f>
        <v>94258.799999999843</v>
      </c>
      <c r="E14" s="24">
        <f t="shared" ref="E14:R14" ca="1" si="7">+E7-E12</f>
        <v>94694.975999999879</v>
      </c>
      <c r="F14" s="24">
        <f t="shared" ca="1" si="7"/>
        <v>95096.405519999884</v>
      </c>
      <c r="G14" s="24">
        <f t="shared" ca="1" si="7"/>
        <v>95461.089530399884</v>
      </c>
      <c r="H14" s="24">
        <f t="shared" ca="1" si="7"/>
        <v>95786.949898007908</v>
      </c>
      <c r="I14" s="24">
        <f t="shared" ca="1" si="7"/>
        <v>96071.826630278025</v>
      </c>
      <c r="J14" s="24">
        <f t="shared" ca="1" si="7"/>
        <v>96313.4750292229</v>
      </c>
      <c r="K14" s="24">
        <f t="shared" ca="1" si="7"/>
        <v>96509.562752136786</v>
      </c>
      <c r="L14" s="24">
        <f t="shared" ca="1" si="7"/>
        <v>96657.666776178958</v>
      </c>
      <c r="M14" s="24">
        <f t="shared" ca="1" si="7"/>
        <v>96755.270263771934</v>
      </c>
      <c r="N14" s="24">
        <f t="shared" ca="1" si="7"/>
        <v>96799.759325678751</v>
      </c>
      <c r="O14" s="24">
        <f t="shared" ca="1" si="7"/>
        <v>96788.419678522681</v>
      </c>
      <c r="P14" s="24">
        <f t="shared" ca="1" si="7"/>
        <v>96718.433193413395</v>
      </c>
      <c r="Q14" s="24">
        <f t="shared" ca="1" si="7"/>
        <v>96586.874332241568</v>
      </c>
      <c r="R14" s="24">
        <f t="shared" ca="1" si="7"/>
        <v>96390.706468095072</v>
      </c>
    </row>
    <row r="16" spans="1:18" x14ac:dyDescent="0.3">
      <c r="A16" t="s">
        <v>177</v>
      </c>
      <c r="D16" s="24">
        <f>+Basics!D59</f>
        <v>78549</v>
      </c>
      <c r="E16" s="24">
        <f>+D16</f>
        <v>78549</v>
      </c>
      <c r="F16" s="24">
        <f t="shared" ref="F16:R16" si="8">+E16</f>
        <v>78549</v>
      </c>
      <c r="G16" s="24">
        <f t="shared" si="8"/>
        <v>78549</v>
      </c>
      <c r="H16" s="24">
        <f t="shared" si="8"/>
        <v>78549</v>
      </c>
      <c r="I16" s="24">
        <f t="shared" si="8"/>
        <v>78549</v>
      </c>
      <c r="J16" s="24">
        <f t="shared" si="8"/>
        <v>78549</v>
      </c>
      <c r="K16" s="24">
        <f t="shared" si="8"/>
        <v>78549</v>
      </c>
      <c r="L16" s="24">
        <f t="shared" si="8"/>
        <v>78549</v>
      </c>
      <c r="M16" s="24">
        <f t="shared" si="8"/>
        <v>78549</v>
      </c>
      <c r="N16" s="24">
        <f t="shared" si="8"/>
        <v>78549</v>
      </c>
      <c r="O16" s="24">
        <f t="shared" si="8"/>
        <v>78549</v>
      </c>
      <c r="P16" s="24">
        <f t="shared" si="8"/>
        <v>78549</v>
      </c>
      <c r="Q16" s="24">
        <f t="shared" si="8"/>
        <v>78549</v>
      </c>
      <c r="R16" s="24">
        <f t="shared" si="8"/>
        <v>78549</v>
      </c>
    </row>
    <row r="17" spans="1:19" x14ac:dyDescent="0.3">
      <c r="A17" t="s">
        <v>178</v>
      </c>
      <c r="D17" s="26">
        <f ca="1">+D14/D16</f>
        <v>1.199999999999998</v>
      </c>
      <c r="E17" s="26">
        <f t="shared" ref="E17:R17" ca="1" si="9">+E14/E16</f>
        <v>1.2055529160142062</v>
      </c>
      <c r="F17" s="26">
        <f t="shared" ca="1" si="9"/>
        <v>1.2106634778291243</v>
      </c>
      <c r="G17" s="26">
        <f t="shared" ca="1" si="9"/>
        <v>1.2153062359851798</v>
      </c>
      <c r="H17" s="26">
        <f t="shared" ca="1" si="9"/>
        <v>1.2194547339623407</v>
      </c>
      <c r="I17" s="26">
        <f t="shared" ca="1" si="9"/>
        <v>1.2230814730967678</v>
      </c>
      <c r="J17" s="26">
        <f t="shared" ca="1" si="9"/>
        <v>1.2261578763475398</v>
      </c>
      <c r="K17" s="26">
        <f t="shared" ca="1" si="9"/>
        <v>1.2286542508769913</v>
      </c>
      <c r="L17" s="26">
        <f t="shared" ca="1" si="9"/>
        <v>1.2305397494071084</v>
      </c>
      <c r="M17" s="26">
        <f t="shared" ca="1" si="9"/>
        <v>1.2317823303132049</v>
      </c>
      <c r="N17" s="26">
        <f t="shared" ca="1" si="9"/>
        <v>1.2323487164149607</v>
      </c>
      <c r="O17" s="26">
        <f t="shared" ca="1" si="9"/>
        <v>1.2322043524236168</v>
      </c>
      <c r="P17" s="26">
        <f t="shared" ca="1" si="9"/>
        <v>1.2313133610028568</v>
      </c>
      <c r="Q17" s="26">
        <f t="shared" ca="1" si="9"/>
        <v>1.2296384973996048</v>
      </c>
      <c r="R17" s="26">
        <f t="shared" ca="1" si="9"/>
        <v>1.2271411025995884</v>
      </c>
    </row>
    <row r="19" spans="1:19" x14ac:dyDescent="0.3">
      <c r="A19" t="s">
        <v>179</v>
      </c>
      <c r="D19" s="24">
        <f ca="1">+D14-D16</f>
        <v>15709.799999999843</v>
      </c>
      <c r="E19" s="24">
        <f t="shared" ref="E19:R19" ca="1" si="10">+E14-E16</f>
        <v>16145.975999999879</v>
      </c>
      <c r="F19" s="24">
        <f t="shared" ca="1" si="10"/>
        <v>16547.405519999884</v>
      </c>
      <c r="G19" s="24">
        <f t="shared" ca="1" si="10"/>
        <v>16912.089530399884</v>
      </c>
      <c r="H19" s="24">
        <f t="shared" ca="1" si="10"/>
        <v>17237.949898007908</v>
      </c>
      <c r="I19" s="24">
        <f t="shared" ca="1" si="10"/>
        <v>17522.826630278025</v>
      </c>
      <c r="J19" s="24">
        <f t="shared" ca="1" si="10"/>
        <v>17764.4750292229</v>
      </c>
      <c r="K19" s="24">
        <f t="shared" ca="1" si="10"/>
        <v>17960.562752136786</v>
      </c>
      <c r="L19" s="24">
        <f t="shared" ca="1" si="10"/>
        <v>18108.666776178958</v>
      </c>
      <c r="M19" s="24">
        <f t="shared" ca="1" si="10"/>
        <v>18206.270263771934</v>
      </c>
      <c r="N19" s="24">
        <f t="shared" ca="1" si="10"/>
        <v>18250.759325678751</v>
      </c>
      <c r="O19" s="24">
        <f t="shared" ca="1" si="10"/>
        <v>18239.419678522681</v>
      </c>
      <c r="P19" s="24">
        <f t="shared" ca="1" si="10"/>
        <v>18169.433193413395</v>
      </c>
      <c r="Q19" s="24">
        <f t="shared" ca="1" si="10"/>
        <v>18037.874332241568</v>
      </c>
      <c r="R19" s="24">
        <f t="shared" ca="1" si="10"/>
        <v>17841.706468095072</v>
      </c>
    </row>
    <row r="20" spans="1:19" x14ac:dyDescent="0.3">
      <c r="A20" t="s">
        <v>180</v>
      </c>
      <c r="D20" s="68">
        <f>100*Basics!I10</f>
        <v>2300</v>
      </c>
      <c r="E20" s="24">
        <f>+D20+(D20*C3)</f>
        <v>2369</v>
      </c>
      <c r="F20" s="24">
        <f t="shared" ref="F20:R20" si="11">+E20+(E20*D3)</f>
        <v>2369</v>
      </c>
      <c r="G20" s="24">
        <f t="shared" si="11"/>
        <v>2369</v>
      </c>
      <c r="H20" s="24">
        <f t="shared" si="11"/>
        <v>2369</v>
      </c>
      <c r="I20" s="24">
        <f t="shared" si="11"/>
        <v>2369</v>
      </c>
      <c r="J20" s="24">
        <f t="shared" si="11"/>
        <v>2369</v>
      </c>
      <c r="K20" s="24">
        <f t="shared" si="11"/>
        <v>2369</v>
      </c>
      <c r="L20" s="24">
        <f t="shared" si="11"/>
        <v>2369</v>
      </c>
      <c r="M20" s="24">
        <f t="shared" si="11"/>
        <v>2369</v>
      </c>
      <c r="N20" s="24">
        <f t="shared" si="11"/>
        <v>2369</v>
      </c>
      <c r="O20" s="24">
        <f t="shared" si="11"/>
        <v>2369</v>
      </c>
      <c r="P20" s="24">
        <f t="shared" si="11"/>
        <v>2369</v>
      </c>
      <c r="Q20" s="24">
        <f t="shared" si="11"/>
        <v>2369</v>
      </c>
      <c r="R20" s="24">
        <f t="shared" si="11"/>
        <v>2369</v>
      </c>
      <c r="S20" s="24">
        <f>+SUM(D20:R20)</f>
        <v>35466</v>
      </c>
    </row>
    <row r="21" spans="1:19" x14ac:dyDescent="0.3">
      <c r="A21" t="s">
        <v>181</v>
      </c>
      <c r="D21" s="24">
        <f ca="1">+D19-D20</f>
        <v>13409.799999999843</v>
      </c>
      <c r="E21" s="24">
        <f t="shared" ref="E21:R21" ca="1" si="12">+E19-E20</f>
        <v>13776.975999999879</v>
      </c>
      <c r="F21" s="24">
        <f t="shared" ca="1" si="12"/>
        <v>14178.405519999884</v>
      </c>
      <c r="G21" s="24">
        <f t="shared" ca="1" si="12"/>
        <v>14543.089530399884</v>
      </c>
      <c r="H21" s="24">
        <f t="shared" ca="1" si="12"/>
        <v>14868.949898007908</v>
      </c>
      <c r="I21" s="24">
        <f t="shared" ca="1" si="12"/>
        <v>15153.826630278025</v>
      </c>
      <c r="J21" s="24">
        <f t="shared" ca="1" si="12"/>
        <v>15395.4750292229</v>
      </c>
      <c r="K21" s="24">
        <f t="shared" ca="1" si="12"/>
        <v>15591.562752136786</v>
      </c>
      <c r="L21" s="24">
        <f t="shared" ca="1" si="12"/>
        <v>15739.666776178958</v>
      </c>
      <c r="M21" s="24">
        <f t="shared" ca="1" si="12"/>
        <v>15837.270263771934</v>
      </c>
      <c r="N21" s="24">
        <f t="shared" ca="1" si="12"/>
        <v>15881.759325678751</v>
      </c>
      <c r="O21" s="24">
        <f t="shared" ca="1" si="12"/>
        <v>15870.419678522681</v>
      </c>
      <c r="P21" s="24">
        <f t="shared" ca="1" si="12"/>
        <v>15800.433193413395</v>
      </c>
      <c r="Q21" s="24">
        <f t="shared" ca="1" si="12"/>
        <v>15668.874332241568</v>
      </c>
      <c r="R21" s="24">
        <f t="shared" ca="1" si="12"/>
        <v>15472.706468095072</v>
      </c>
      <c r="S21" s="24">
        <f ca="1">+SUM(D21:R21)</f>
        <v>227189.21539794747</v>
      </c>
    </row>
    <row r="23" spans="1:19" x14ac:dyDescent="0.3">
      <c r="A23" t="s">
        <v>182</v>
      </c>
      <c r="C23" s="1">
        <f>+Basics!D174</f>
        <v>0</v>
      </c>
      <c r="D23" s="1">
        <f>IF(+C23&gt;0,+D21,0)</f>
        <v>0</v>
      </c>
      <c r="E23" s="1">
        <f>IF(+D24&gt;0,IF(+D24&gt;E21,+E21,D24),0)</f>
        <v>0</v>
      </c>
      <c r="F23" s="1">
        <f t="shared" ref="F23:R23" si="13">IF(+E24&gt;0,IF(+E24&gt;F21,+F21,E24),0)</f>
        <v>0</v>
      </c>
      <c r="G23" s="1">
        <f t="shared" si="13"/>
        <v>0</v>
      </c>
      <c r="H23" s="1">
        <f t="shared" si="13"/>
        <v>0</v>
      </c>
      <c r="I23" s="1">
        <f t="shared" si="13"/>
        <v>0</v>
      </c>
      <c r="J23" s="1">
        <f t="shared" si="13"/>
        <v>0</v>
      </c>
      <c r="K23" s="1">
        <f t="shared" si="13"/>
        <v>0</v>
      </c>
      <c r="L23" s="1">
        <f t="shared" si="13"/>
        <v>0</v>
      </c>
      <c r="M23" s="1">
        <f t="shared" si="13"/>
        <v>0</v>
      </c>
      <c r="N23" s="1">
        <f t="shared" si="13"/>
        <v>0</v>
      </c>
      <c r="O23" s="1">
        <f t="shared" si="13"/>
        <v>0</v>
      </c>
      <c r="P23" s="1">
        <f t="shared" si="13"/>
        <v>0</v>
      </c>
      <c r="Q23" s="1">
        <f t="shared" si="13"/>
        <v>0</v>
      </c>
      <c r="R23" s="1">
        <f t="shared" si="13"/>
        <v>0</v>
      </c>
      <c r="S23" s="24">
        <f>+SUM(D23:R23)</f>
        <v>0</v>
      </c>
    </row>
    <row r="24" spans="1:19" x14ac:dyDescent="0.3">
      <c r="D24" s="1">
        <f>+C23-D23</f>
        <v>0</v>
      </c>
      <c r="E24" s="1">
        <f>+D24-E23</f>
        <v>0</v>
      </c>
      <c r="F24" s="1">
        <f t="shared" ref="F24:R24" si="14">+E24-F23</f>
        <v>0</v>
      </c>
      <c r="G24" s="1">
        <f t="shared" si="14"/>
        <v>0</v>
      </c>
      <c r="H24" s="1">
        <f t="shared" si="14"/>
        <v>0</v>
      </c>
      <c r="I24" s="1">
        <f t="shared" si="14"/>
        <v>0</v>
      </c>
      <c r="J24" s="1">
        <f t="shared" si="14"/>
        <v>0</v>
      </c>
      <c r="K24" s="1">
        <f t="shared" si="14"/>
        <v>0</v>
      </c>
      <c r="L24" s="1">
        <f t="shared" si="14"/>
        <v>0</v>
      </c>
      <c r="M24" s="1">
        <f t="shared" si="14"/>
        <v>0</v>
      </c>
      <c r="N24" s="1">
        <f t="shared" si="14"/>
        <v>0</v>
      </c>
      <c r="O24" s="1">
        <f t="shared" si="14"/>
        <v>0</v>
      </c>
      <c r="P24" s="1">
        <f t="shared" si="14"/>
        <v>0</v>
      </c>
      <c r="Q24" s="1">
        <f t="shared" si="14"/>
        <v>0</v>
      </c>
      <c r="R24" s="1">
        <f t="shared" si="14"/>
        <v>0</v>
      </c>
    </row>
    <row r="26" spans="1:19" x14ac:dyDescent="0.3">
      <c r="A26" t="s">
        <v>183</v>
      </c>
      <c r="D26" s="24">
        <f ca="1">+D21-D23</f>
        <v>13409.799999999843</v>
      </c>
      <c r="E26" s="24">
        <f t="shared" ref="E26:R26" ca="1" si="15">+E21-E23</f>
        <v>13776.975999999879</v>
      </c>
      <c r="F26" s="24">
        <f t="shared" ca="1" si="15"/>
        <v>14178.405519999884</v>
      </c>
      <c r="G26" s="24">
        <f t="shared" ca="1" si="15"/>
        <v>14543.089530399884</v>
      </c>
      <c r="H26" s="24">
        <f t="shared" ca="1" si="15"/>
        <v>14868.949898007908</v>
      </c>
      <c r="I26" s="24">
        <f t="shared" ca="1" si="15"/>
        <v>15153.826630278025</v>
      </c>
      <c r="J26" s="24">
        <f t="shared" ca="1" si="15"/>
        <v>15395.4750292229</v>
      </c>
      <c r="K26" s="24">
        <f t="shared" ca="1" si="15"/>
        <v>15591.562752136786</v>
      </c>
      <c r="L26" s="24">
        <f t="shared" ca="1" si="15"/>
        <v>15739.666776178958</v>
      </c>
      <c r="M26" s="24">
        <f t="shared" ca="1" si="15"/>
        <v>15837.270263771934</v>
      </c>
      <c r="N26" s="24">
        <f t="shared" ca="1" si="15"/>
        <v>15881.759325678751</v>
      </c>
      <c r="O26" s="24">
        <f t="shared" ca="1" si="15"/>
        <v>15870.419678522681</v>
      </c>
      <c r="P26" s="24">
        <f t="shared" ca="1" si="15"/>
        <v>15800.433193413395</v>
      </c>
      <c r="Q26" s="24">
        <f t="shared" ca="1" si="15"/>
        <v>15668.874332241568</v>
      </c>
      <c r="R26" s="24">
        <f t="shared" ca="1" si="15"/>
        <v>15472.706468095072</v>
      </c>
      <c r="S26" s="24">
        <f ca="1">+SUM(D26:R26)</f>
        <v>227189.21539794747</v>
      </c>
    </row>
    <row r="28" spans="1:19" x14ac:dyDescent="0.3">
      <c r="S28" t="s">
        <v>246</v>
      </c>
    </row>
  </sheetData>
  <sheetProtection algorithmName="SHA-512" hashValue="T2TQbBRJx5No8kCn/yv8O4NCkXsS7DU7z9MYKvGMayIxs/4HPT0DIIbSD9fmLfarSTq8Ky6Ey3erTLujymvygQ==" saltValue="Lf7Y3qzVk8NAiln2kvK5MQ==" spinCount="100000" sheet="1" objects="1" scenarios="1"/>
  <pageMargins left="0.7" right="0.7" top="0.75" bottom="0.75" header="0.3" footer="0.3"/>
  <pageSetup scale="67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2D948-EFD5-4393-92B8-7089AC02B50B}">
  <sheetPr>
    <pageSetUpPr fitToPage="1"/>
  </sheetPr>
  <dimension ref="A2:B7"/>
  <sheetViews>
    <sheetView workbookViewId="0">
      <selection activeCell="B2" sqref="B2:B7"/>
    </sheetView>
  </sheetViews>
  <sheetFormatPr defaultRowHeight="14.4" x14ac:dyDescent="0.3"/>
  <cols>
    <col min="1" max="1" width="11" customWidth="1"/>
  </cols>
  <sheetData>
    <row r="2" spans="1:2" x14ac:dyDescent="0.3">
      <c r="A2" t="s">
        <v>231</v>
      </c>
      <c r="B2" s="69">
        <v>0.25</v>
      </c>
    </row>
    <row r="3" spans="1:2" x14ac:dyDescent="0.3">
      <c r="A3" t="s">
        <v>233</v>
      </c>
      <c r="B3" s="69">
        <v>0.75</v>
      </c>
    </row>
    <row r="4" spans="1:2" x14ac:dyDescent="0.3">
      <c r="B4" s="51"/>
    </row>
    <row r="5" spans="1:2" x14ac:dyDescent="0.3">
      <c r="A5" t="s">
        <v>229</v>
      </c>
      <c r="B5" s="69">
        <v>0.7</v>
      </c>
    </row>
    <row r="6" spans="1:2" x14ac:dyDescent="0.3">
      <c r="A6" t="s">
        <v>230</v>
      </c>
      <c r="B6" s="69">
        <v>0.2</v>
      </c>
    </row>
    <row r="7" spans="1:2" x14ac:dyDescent="0.3">
      <c r="A7" t="s">
        <v>232</v>
      </c>
      <c r="B7" s="69">
        <v>0.1</v>
      </c>
    </row>
  </sheetData>
  <sheetProtection algorithmName="SHA-512" hashValue="rYtv0Np9kp1ooE7EJ3FjtAb8xyq8F+1CKHKduWMEC3eO1lwTQW64sbAtZq4NPmgVxSG8QrqfuGIAfEfRkQWUNQ==" saltValue="3RVBQfalXyHvt0siEvUTyw==" spinCount="100000" sheet="1" objects="1" scenarios="1"/>
  <pageMargins left="0.7" right="0.7" top="0.75" bottom="0.75" header="0.3" footer="0.3"/>
  <pageSetup scale="96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7515A-E861-48C2-A991-75AF54669B61}">
  <dimension ref="B2:E15"/>
  <sheetViews>
    <sheetView workbookViewId="0">
      <selection activeCell="D29" sqref="D29"/>
    </sheetView>
  </sheetViews>
  <sheetFormatPr defaultRowHeight="14.4" x14ac:dyDescent="0.3"/>
  <cols>
    <col min="2" max="2" width="12.33203125" bestFit="1" customWidth="1"/>
    <col min="4" max="4" width="13.44140625" bestFit="1" customWidth="1"/>
  </cols>
  <sheetData>
    <row r="2" spans="2:5" x14ac:dyDescent="0.3">
      <c r="B2" s="1">
        <v>7139425</v>
      </c>
      <c r="D2" s="1">
        <v>7256425</v>
      </c>
    </row>
    <row r="3" spans="2:5" x14ac:dyDescent="0.3">
      <c r="B3" s="10">
        <v>0.2</v>
      </c>
      <c r="D3" s="1">
        <v>-1427885</v>
      </c>
    </row>
    <row r="4" spans="2:5" x14ac:dyDescent="0.3">
      <c r="B4" s="1">
        <f>+B3*B2</f>
        <v>1427885</v>
      </c>
      <c r="D4" s="2">
        <f>+D3+D2</f>
        <v>5828540</v>
      </c>
    </row>
    <row r="5" spans="2:5" x14ac:dyDescent="0.3">
      <c r="B5" s="132">
        <v>0.99990000000000001</v>
      </c>
      <c r="D5" s="10">
        <v>0.09</v>
      </c>
    </row>
    <row r="6" spans="2:5" x14ac:dyDescent="0.3">
      <c r="B6" s="133">
        <f>+B5*B4</f>
        <v>1427742.2115</v>
      </c>
      <c r="D6" s="131">
        <f>+D4*D5</f>
        <v>524568.6</v>
      </c>
    </row>
    <row r="7" spans="2:5" x14ac:dyDescent="0.3">
      <c r="B7" s="134">
        <v>0.85</v>
      </c>
      <c r="D7" s="1">
        <f>+D6*10</f>
        <v>5245686</v>
      </c>
    </row>
    <row r="8" spans="2:5" x14ac:dyDescent="0.3">
      <c r="B8" s="133">
        <f>+B7*B6</f>
        <v>1213580.879775</v>
      </c>
      <c r="D8" s="132">
        <v>0.99990000000000001</v>
      </c>
    </row>
    <row r="9" spans="2:5" x14ac:dyDescent="0.3">
      <c r="D9" s="131">
        <f>+D7*D8</f>
        <v>5245161.4314000001</v>
      </c>
    </row>
    <row r="10" spans="2:5" x14ac:dyDescent="0.3">
      <c r="D10" s="134">
        <v>0.9</v>
      </c>
    </row>
    <row r="11" spans="2:5" x14ac:dyDescent="0.3">
      <c r="D11" s="135">
        <f>+D9*D10</f>
        <v>4720645.2882599998</v>
      </c>
    </row>
    <row r="15" spans="2:5" x14ac:dyDescent="0.3">
      <c r="E15" s="1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Basics</vt:lpstr>
      <vt:lpstr>Forecast</vt:lpstr>
      <vt:lpstr>graphics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Hutchison</dc:creator>
  <cp:lastModifiedBy>16082</cp:lastModifiedBy>
  <cp:lastPrinted>2023-01-31T01:43:08Z</cp:lastPrinted>
  <dcterms:created xsi:type="dcterms:W3CDTF">2023-01-27T14:51:07Z</dcterms:created>
  <dcterms:modified xsi:type="dcterms:W3CDTF">2023-02-17T00:12:16Z</dcterms:modified>
</cp:coreProperties>
</file>